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1600" windowHeight="9885" activeTab="0"/>
  </bookViews>
  <sheets>
    <sheet name="VSAN 6.6 Calc" sheetId="1" r:id="rId1"/>
    <sheet name="Kim Bottu 2016" sheetId="2" r:id="rId2"/>
    <sheet name="Sheet3" sheetId="3" r:id="rId3"/>
  </sheets>
  <definedNames/>
  <calcPr calcId="152511"/>
</workbook>
</file>

<file path=xl/sharedStrings.xml><?xml version="1.0" encoding="utf-8"?>
<sst xmlns="http://schemas.openxmlformats.org/spreadsheetml/2006/main" count="192" uniqueCount="135">
  <si>
    <t>PHYSICAL CORES NEEDED + CORES NEEDED TO RUN VSAN AND ESXi</t>
  </si>
  <si>
    <t>PCPU</t>
  </si>
  <si>
    <t>CORES NEEDED</t>
  </si>
  <si>
    <t>HOSTS</t>
  </si>
  <si>
    <t xml:space="preserve">TOTAL PHYSICAL CORES PER HOST NEEDED (INCLUDES OVERHEAD TO RUN VSAN) </t>
  </si>
  <si>
    <t>CORES</t>
  </si>
  <si>
    <t>TOTAL PHYSICAL CORES PER HOST</t>
  </si>
  <si>
    <t>TOTAL AMOUNT OF RAM TO INSTALL</t>
  </si>
  <si>
    <t>GB</t>
  </si>
  <si>
    <t>RAM PER HOST NEEDED</t>
  </si>
  <si>
    <t xml:space="preserve">TOTAL CACHE FOR WORKLOAD (TB) (10% OF RAW NO FTT) </t>
  </si>
  <si>
    <t>TB</t>
  </si>
  <si>
    <t xml:space="preserve">CACHE PER HOST (TB) </t>
  </si>
  <si>
    <t xml:space="preserve">  TOTAL STORAGE SPACE NEEDED FOR ALL VMs - NO SLACK &amp; NO v2 OVERHEAD </t>
  </si>
  <si>
    <t xml:space="preserve"> STORAGE SPACE NEEDED PER HOST - NO SLACK &amp; NO v2 OVERHEAD </t>
  </si>
  <si>
    <t>TOTAL STORAGE SPACE NEEDED PER HOST + FTT</t>
  </si>
  <si>
    <t xml:space="preserve">TOTAL STORAGE SPACE NEEDED FOR ALL VMs - SLACK &amp; v2 OVERHEAD </t>
  </si>
  <si>
    <t xml:space="preserve">          TOTAL STORAGE SPACE NEEDED FOR ALL HOSTS FOR ALL VMs + SLACK + Overhead</t>
  </si>
  <si>
    <t xml:space="preserve"> STORAGE SPACE NEEDED PER HOST - SLACK &amp; v2 OVERHEAD </t>
  </si>
  <si>
    <t xml:space="preserve">          TOTAL STORAGE SPACE NEEDED PER HOST + SLACK + Overhead</t>
  </si>
  <si>
    <t xml:space="preserve"> NUMBER OF PCPUs NEEDED</t>
  </si>
  <si>
    <t xml:space="preserve">TOTAL CACHE FOR ALL HOST (TB) </t>
  </si>
  <si>
    <t>NUMBER OF VM'S</t>
  </si>
  <si>
    <t>VCPU TO PCPU RATIO  (…../1)</t>
  </si>
  <si>
    <t>VCPU's PER VM</t>
  </si>
  <si>
    <t>PHYSICAL CORES NEEDED TO SERVE ALL VMs</t>
  </si>
  <si>
    <t>% OF CPU NEEDED TO SERVE VSAN and ESXi (BETWEEN 10 TO 35 %)</t>
  </si>
  <si>
    <t>PHYSICAL CORES NEEDED TO SERVE ALL VMs +...% TO SERVE VSAN</t>
  </si>
  <si>
    <t>TOTAL VCPU</t>
  </si>
  <si>
    <t>CORES NEEDED (+30%)</t>
  </si>
  <si>
    <t>RAM (GB) PER VM</t>
  </si>
  <si>
    <t>ALL HOSTS SWAP SIZE (GB)</t>
  </si>
  <si>
    <t>MEMORY OVERCOMMITMENT IN %</t>
  </si>
  <si>
    <t>ALL HOSTS TOTAL RAM (GB)</t>
  </si>
  <si>
    <t>% OF RAM NEEDED TO SERVE VSAN and ESXi (BETWEEN 10 TO 35 %)</t>
  </si>
  <si>
    <t>ALL HOSTS TOTAL RAM (GB) - MEMORY OVERCOMMITMENT IN %</t>
  </si>
  <si>
    <t>ALL HOSTS MEM NEEDED (+10%) TO SERVE VSAN AND ALL VMs</t>
  </si>
  <si>
    <t>MEM RESERVATIONS  (GB)  (DECREASES AMOUNT OF SWAP)</t>
  </si>
  <si>
    <t>GENERAL HOST : PHYSICAL CORES</t>
  </si>
  <si>
    <t>PHYSICAL SOCKETS PER HOST AVAILABLE</t>
  </si>
  <si>
    <t>PHYSICAL CORES PER HOST AVAILABLE</t>
  </si>
  <si>
    <t>TOTAL CORES  PER HOST AVAILABLE</t>
  </si>
  <si>
    <t>HOST NEEDED FOR FTM: PHYSICAL CORES</t>
  </si>
  <si>
    <r>
      <rPr>
        <b/>
        <sz val="8"/>
        <rFont val="Arial"/>
        <family val="2"/>
      </rPr>
      <t>MINIMUM AMOUNT OF HOSTS</t>
    </r>
    <r>
      <rPr>
        <sz val="8"/>
        <rFont val="Arial"/>
        <family val="2"/>
      </rPr>
      <t xml:space="preserve"> NEEDED FOR RAID SUPPORT</t>
    </r>
  </si>
  <si>
    <t>HOSTS FOR FULL RECOVERY OR RE-PROTECTION  (NEEDED FOR ERASURE ONLY)</t>
  </si>
  <si>
    <t xml:space="preserve">HOSTS FOR REDUNDANCY </t>
  </si>
  <si>
    <t xml:space="preserve">REAL NUMBER OF HOSTS NEEDED </t>
  </si>
  <si>
    <t>REAL NUMBER OF HOSTS NEEDED + FULL RECOVERY HOST + REDUNDANCY  HOST</t>
  </si>
  <si>
    <t>HOST NEEDED FOR HYBRID: PHYSICAL CORES</t>
  </si>
  <si>
    <r>
      <rPr>
        <b/>
        <sz val="8"/>
        <rFont val="Arial"/>
        <family val="2"/>
      </rPr>
      <t>MINIMUM AMOUNT OF HOSTS</t>
    </r>
    <r>
      <rPr>
        <sz val="8"/>
        <rFont val="Arial"/>
        <family val="2"/>
      </rPr>
      <t xml:space="preserve"> NEEDED FOR HYBRID SUPPORT</t>
    </r>
  </si>
  <si>
    <t>REAL NUMBER OF HOSTS NEEDED + REDUNDANCY  HOST</t>
  </si>
  <si>
    <t>REAL NUMBER OF HOSTS NEEDED FOR WORKLOAD</t>
  </si>
  <si>
    <t xml:space="preserve"> STORAGE CALCULATIONS - GENERAL DATA</t>
  </si>
  <si>
    <t>Size Disk 1 (GB)  - BOOT DISK</t>
  </si>
  <si>
    <t>Size Disk 2 (GB)  - DATA DISK 1</t>
  </si>
  <si>
    <t>Size Disk 3 (GB)  - DATA DISK 2</t>
  </si>
  <si>
    <t xml:space="preserve"> % space used Disk 1 </t>
  </si>
  <si>
    <t xml:space="preserve"> % space used Disk 2</t>
  </si>
  <si>
    <t xml:space="preserve"> % space used Disk 3</t>
  </si>
  <si>
    <t>Raw Storage Consumption (without FTT) for cache sizing (TB):</t>
  </si>
  <si>
    <t>Cache Required (10%  in TB)</t>
  </si>
  <si>
    <t>Cache per host in (GB)</t>
  </si>
  <si>
    <t>NUMBER OF SNAPSHOTS</t>
  </si>
  <si>
    <t>TOTAL SNAPSHOT DISK SIZE (TB)</t>
  </si>
  <si>
    <t>Total % of disk usage for SNAPSHOTS</t>
  </si>
  <si>
    <t>SLACK  = 30% of the raw storage reqs after disks have been formatted)</t>
  </si>
  <si>
    <t>Disk 1  -  FTM RAID 1 - type 1 if used</t>
  </si>
  <si>
    <t>Disk 1  -  FTM RAID 5 - type 1 if used</t>
  </si>
  <si>
    <t>Disk 1  -  FTM RAID 6  - type 0 if not used   ANY disk RAID6 -&gt; 6  HOSTS</t>
  </si>
  <si>
    <t>Disk 2  - FTM RAID 1 - type 1 if used</t>
  </si>
  <si>
    <t>Disk 2  - FTM RAID 5 - type 1 if used</t>
  </si>
  <si>
    <t>Disk 2  - FTM RAID 6  - type 0 if not used</t>
  </si>
  <si>
    <t>Disk 3  - FTM RAID 1  - type 1 if used</t>
  </si>
  <si>
    <t>Disk 3  - FTM RAID 5  - type 1 if used</t>
  </si>
  <si>
    <t xml:space="preserve">Disk 3  - FTM RAID 6 - type 0 if not used </t>
  </si>
  <si>
    <t>Size Disk 1   (GB) - FTM RAID &amp; Dedupe/Compression savings   (GB)</t>
  </si>
  <si>
    <t>Size Disk 2   (GB) - FTM RAID &amp; Dedupe/Compression savings   (GB)</t>
  </si>
  <si>
    <t>Size Disk 3   (GB) - FTM RAID &amp; Dedupe/Compression savings   (GB)</t>
  </si>
  <si>
    <t xml:space="preserve">ALL VMs WITH FTM RAID   (GB) </t>
  </si>
  <si>
    <t xml:space="preserve">ALL VMs :RAID + Dedupe Compression Savings + effective % space used   (GB) </t>
  </si>
  <si>
    <t xml:space="preserve">ALL VMs :RAID + Dedupe Compression Savings + effective % space used   (TB) </t>
  </si>
  <si>
    <t>RAW STORAGE REQS (VMs + SNAPSHOTS) (TB)</t>
  </si>
  <si>
    <t>Raw Formatted Storage Capacity + SLACK (=70% of Raw Formatted Sto Cap) (TB)</t>
  </si>
  <si>
    <t>TOTAL ALL-FLASH STORAGE  FOR ALL VMS +  v2 overhead (TB)</t>
  </si>
  <si>
    <t>FTT</t>
  </si>
  <si>
    <t>Raw Storage Requirements (VMs + Snapshots)</t>
  </si>
  <si>
    <t>Raw Storage Requirements (VMs + Snapshots) (TB)</t>
  </si>
  <si>
    <t>1 VM : CACHE SIZE  (GB)</t>
  </si>
  <si>
    <t>1 VM : CACHE SIZE  (TB)</t>
  </si>
  <si>
    <t>ALL VMs : CACHE SIZE  (TB)</t>
  </si>
  <si>
    <t>Created by Kim Bottu 2016   @kim_bottu</t>
  </si>
  <si>
    <t xml:space="preserve"> STORAGE CALCULATIONS - RAID1 (FTT=1)  RAID 5 (FTT =1 ) OR RAID 6 (FTT=2)</t>
  </si>
  <si>
    <t xml:space="preserve">    NUMBER OF HOSTS NEEDED FOR WORLOAD</t>
  </si>
  <si>
    <t>Raw Unformatted Storage Capacity +30% +Snaps+ On disk format overhead = 1% (TB)</t>
  </si>
  <si>
    <t>1 VM : TOTAL DISK SIZE + % USED</t>
  </si>
  <si>
    <t xml:space="preserve">  TOTAL STORAGE SPACE DISTRIBUTED OVER ALL HOSTS</t>
  </si>
  <si>
    <t xml:space="preserve">                TOTAL STORAGE SPACE DISTRIBUTED OVER ALL HOSTS</t>
  </si>
  <si>
    <r>
      <rPr>
        <b/>
        <sz val="8"/>
        <rFont val="Arial"/>
        <family val="2"/>
      </rPr>
      <t xml:space="preserve">HYBRID - </t>
    </r>
    <r>
      <rPr>
        <sz val="8"/>
        <rFont val="Arial"/>
        <family val="2"/>
      </rPr>
      <t>CALCULATING HOST AND STORAGE REQUIREMENTS</t>
    </r>
  </si>
  <si>
    <t xml:space="preserve"> BLACK= AMOUNTS NEEDED TO RUN THE WORKLOAD                               RED= AMOUNTS NEEDED INCL  N+x</t>
  </si>
  <si>
    <r>
      <rPr>
        <b/>
        <sz val="8"/>
        <rFont val="Arial"/>
        <family val="2"/>
      </rPr>
      <t>ALL FLASH -</t>
    </r>
    <r>
      <rPr>
        <sz val="8"/>
        <rFont val="Arial"/>
        <family val="2"/>
      </rPr>
      <t xml:space="preserve"> CALCULATING HOST AND STORAGE REQUIREMENTS</t>
    </r>
  </si>
  <si>
    <t xml:space="preserve"> BLACK= AMOUNTS NEEDED TO RUN THE WORKLOAD     RED= AMOUNTS NEEDED INCL FOR REDUNDANCY AND RECOVERY </t>
  </si>
  <si>
    <r>
      <rPr>
        <b/>
        <sz val="8"/>
        <rFont val="Arial"/>
        <family val="2"/>
      </rPr>
      <t>TOTAL MINIMUM AMOUNT OF HOSTS</t>
    </r>
    <r>
      <rPr>
        <sz val="8"/>
        <rFont val="Arial"/>
        <family val="2"/>
      </rPr>
      <t xml:space="preserve"> NEEDED</t>
    </r>
  </si>
  <si>
    <t>Raw Storage Requirements (with FTT) for 400</t>
  </si>
  <si>
    <t>Raw Storage Requirements for the Data disk</t>
  </si>
  <si>
    <t>Raw Storage Requirements for the boot disk</t>
  </si>
  <si>
    <t>Raw Storage Consumption (without FTT) for cache sizing</t>
  </si>
  <si>
    <t>Cache Required  ….. % of Estimated Storage Consumption  … in %</t>
  </si>
  <si>
    <t>Cache Required in TB</t>
  </si>
  <si>
    <t>Dedupe/Compression Ratio Disk 1     -  no dedupe = 1</t>
  </si>
  <si>
    <t>Dedupe/Compression Ratio Disk 2    -  no dedupe = 1</t>
  </si>
  <si>
    <t>Dedupe/Compression Ratio Disk 3    -  no dedupe = 1</t>
  </si>
  <si>
    <t>%</t>
  </si>
  <si>
    <t>Cache Required (in % of Estimated Storage Consumption)</t>
  </si>
  <si>
    <t xml:space="preserve">Raw Formatted Storage Capacity </t>
  </si>
  <si>
    <t xml:space="preserve">Raw Unformatted Storage Capacity </t>
  </si>
  <si>
    <t xml:space="preserve">CPU AND RAM </t>
  </si>
  <si>
    <t xml:space="preserve"> MINIMUM NUMBER OF HOSTS NEEDED including  RAID SUPPORT</t>
  </si>
  <si>
    <t>Raw Storage Requirements</t>
  </si>
  <si>
    <t>Raw Formatted Storage Capacity</t>
  </si>
  <si>
    <t>Raw Storage Requirements (with FTT) (GB)</t>
  </si>
  <si>
    <t>RaRaw Storage Requirements (with FTT) + VM Swap (with FTT)</t>
  </si>
  <si>
    <t>Raw Storage Consumption (without FTT) for cache sizing (in GB)</t>
  </si>
  <si>
    <t>Cache Required (10% of Estimated Storage Consumption) (in GB)</t>
  </si>
  <si>
    <t>Cache Required (10% of Estimated Storage Consumption) (in TB)</t>
  </si>
  <si>
    <t>Estimated Snapshot Requirements  (with FTT) (in GB)</t>
  </si>
  <si>
    <t>Raw Storage Requirements (VMs + Snapshots) (in GB)</t>
  </si>
  <si>
    <t>Raw Formatted Storage Capacity (in GB)</t>
  </si>
  <si>
    <t>Raw Storage Requirements + 30% Slack Space (TB)</t>
  </si>
  <si>
    <t>RAW STORAGE REQUIREMENTS (VMs + Snapshots)</t>
  </si>
  <si>
    <t>Raw Unformatted Storage Capacity</t>
  </si>
  <si>
    <t>NUMBER OF HOSTS NEEDED  Including N + x</t>
  </si>
  <si>
    <t xml:space="preserve">: </t>
  </si>
  <si>
    <t>FOR FTM CALCULATIONS FTT IS ADDED AUTOMATICALLY IN THE SHEET</t>
  </si>
  <si>
    <t xml:space="preserve"> STORAGE CALCULATIONS - FTT0, FTT1, FTT2 or FTT3 (NO Erasure coding)</t>
  </si>
  <si>
    <t xml:space="preserve">PER SNAPSHOT Estimated  Space Requirements (with FTT)  in 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</si>
</sst>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</fonts>
  <fills count="1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2">
    <xf numFmtId="0" fontId="0" fillId="0" borderId="0" xfId="0"/>
    <xf numFmtId="0" fontId="4" fillId="0" borderId="0" xfId="0" applyFont="1" applyFill="1" applyBorder="1"/>
    <xf numFmtId="0" fontId="4" fillId="0" borderId="0" xfId="0" applyFont="1" applyFill="1" applyAlignment="1">
      <alignment horizontal="center"/>
    </xf>
    <xf numFmtId="0" fontId="4" fillId="2" borderId="1" xfId="0" applyFont="1" applyFill="1" applyBorder="1"/>
    <xf numFmtId="0" fontId="4" fillId="0" borderId="0" xfId="0" applyFont="1" applyFill="1"/>
    <xf numFmtId="0" fontId="4" fillId="2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4" fillId="3" borderId="1" xfId="0" applyFont="1" applyFill="1" applyBorder="1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0" xfId="0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3" borderId="3" xfId="0" applyFont="1" applyFill="1" applyBorder="1"/>
    <xf numFmtId="0" fontId="4" fillId="2" borderId="4" xfId="0" applyFont="1" applyFill="1" applyBorder="1"/>
    <xf numFmtId="0" fontId="4" fillId="3" borderId="4" xfId="0" applyFont="1" applyFill="1" applyBorder="1"/>
    <xf numFmtId="0" fontId="4" fillId="3" borderId="5" xfId="0" applyFont="1" applyFill="1" applyBorder="1" applyAlignment="1">
      <alignment horizontal="left"/>
    </xf>
    <xf numFmtId="0" fontId="3" fillId="0" borderId="0" xfId="0" applyFont="1" applyFill="1"/>
    <xf numFmtId="0" fontId="6" fillId="3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 textRotation="90"/>
    </xf>
    <xf numFmtId="0" fontId="4" fillId="3" borderId="6" xfId="0" applyFont="1" applyFill="1" applyBorder="1"/>
    <xf numFmtId="0" fontId="4" fillId="0" borderId="4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3" borderId="5" xfId="0" applyFont="1" applyFill="1" applyBorder="1"/>
    <xf numFmtId="0" fontId="2" fillId="5" borderId="0" xfId="0" applyFont="1" applyFill="1" applyBorder="1" applyAlignment="1">
      <alignment horizontal="center" vertical="center"/>
    </xf>
    <xf numFmtId="0" fontId="4" fillId="6" borderId="0" xfId="0" applyFont="1" applyFill="1" applyAlignment="1">
      <alignment horizontal="left"/>
    </xf>
    <xf numFmtId="0" fontId="4" fillId="6" borderId="0" xfId="0" applyFont="1" applyFill="1" applyAlignment="1">
      <alignment horizontal="center"/>
    </xf>
    <xf numFmtId="0" fontId="4" fillId="3" borderId="7" xfId="0" applyFont="1" applyFill="1" applyBorder="1"/>
    <xf numFmtId="0" fontId="4" fillId="6" borderId="0" xfId="0" applyFont="1" applyFill="1"/>
    <xf numFmtId="0" fontId="4" fillId="6" borderId="0" xfId="0" applyFont="1" applyFill="1" applyAlignment="1">
      <alignment/>
    </xf>
    <xf numFmtId="0" fontId="4" fillId="0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7" fillId="0" borderId="0" xfId="0" applyFont="1" applyAlignment="1">
      <alignment horizontal="left"/>
    </xf>
    <xf numFmtId="0" fontId="4" fillId="6" borderId="11" xfId="0" applyFont="1" applyFill="1" applyBorder="1" applyAlignment="1">
      <alignment horizontal="left" vertical="center"/>
    </xf>
    <xf numFmtId="0" fontId="4" fillId="6" borderId="12" xfId="0" applyFont="1" applyFill="1" applyBorder="1" applyAlignment="1">
      <alignment horizontal="right" vertical="center"/>
    </xf>
    <xf numFmtId="0" fontId="4" fillId="6" borderId="13" xfId="0" applyFont="1" applyFill="1" applyBorder="1" applyAlignment="1">
      <alignment horizontal="right" vertical="center"/>
    </xf>
    <xf numFmtId="0" fontId="4" fillId="6" borderId="0" xfId="0" applyFont="1" applyFill="1" applyBorder="1" applyAlignment="1">
      <alignment/>
    </xf>
    <xf numFmtId="0" fontId="4" fillId="6" borderId="14" xfId="0" applyFont="1" applyFill="1" applyBorder="1" applyAlignment="1">
      <alignment horizontal="left" vertical="center"/>
    </xf>
    <xf numFmtId="0" fontId="4" fillId="6" borderId="15" xfId="0" applyFont="1" applyFill="1" applyBorder="1" applyAlignment="1">
      <alignment horizontal="right" vertical="center"/>
    </xf>
    <xf numFmtId="0" fontId="4" fillId="6" borderId="0" xfId="0" applyFont="1" applyFill="1" applyBorder="1" applyAlignment="1">
      <alignment horizontal="right" vertical="center"/>
    </xf>
    <xf numFmtId="0" fontId="4" fillId="6" borderId="15" xfId="0" applyFont="1" applyFill="1" applyBorder="1" applyAlignment="1">
      <alignment horizontal="left"/>
    </xf>
    <xf numFmtId="0" fontId="4" fillId="6" borderId="0" xfId="0" applyFont="1" applyFill="1" applyBorder="1" applyAlignment="1">
      <alignment horizontal="center"/>
    </xf>
    <xf numFmtId="0" fontId="4" fillId="6" borderId="14" xfId="0" applyFont="1" applyFill="1" applyBorder="1"/>
    <xf numFmtId="0" fontId="4" fillId="6" borderId="16" xfId="0" applyFont="1" applyFill="1" applyBorder="1" applyAlignment="1">
      <alignment horizontal="left" vertical="center"/>
    </xf>
    <xf numFmtId="0" fontId="4" fillId="6" borderId="17" xfId="0" applyFont="1" applyFill="1" applyBorder="1" applyAlignment="1">
      <alignment horizontal="right" vertical="center"/>
    </xf>
    <xf numFmtId="0" fontId="4" fillId="6" borderId="18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6" borderId="0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left"/>
    </xf>
    <xf numFmtId="0" fontId="4" fillId="9" borderId="19" xfId="0" applyFont="1" applyFill="1" applyBorder="1" applyAlignment="1">
      <alignment horizontal="left"/>
    </xf>
    <xf numFmtId="0" fontId="4" fillId="10" borderId="10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0" fontId="4" fillId="7" borderId="6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22" xfId="0" applyFont="1" applyFill="1" applyBorder="1" applyAlignment="1">
      <alignment horizontal="center"/>
    </xf>
    <xf numFmtId="0" fontId="4" fillId="3" borderId="23" xfId="0" applyFont="1" applyFill="1" applyBorder="1"/>
    <xf numFmtId="0" fontId="4" fillId="4" borderId="23" xfId="0" applyFont="1" applyFill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/>
    </xf>
    <xf numFmtId="0" fontId="6" fillId="11" borderId="1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5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left"/>
    </xf>
    <xf numFmtId="0" fontId="4" fillId="6" borderId="18" xfId="0" applyFont="1" applyFill="1" applyBorder="1" applyAlignment="1">
      <alignment horizontal="center"/>
    </xf>
    <xf numFmtId="0" fontId="4" fillId="6" borderId="16" xfId="0" applyFont="1" applyFill="1" applyBorder="1"/>
    <xf numFmtId="0" fontId="6" fillId="12" borderId="1" xfId="0" applyFont="1" applyFill="1" applyBorder="1" applyAlignment="1">
      <alignment horizontal="center"/>
    </xf>
    <xf numFmtId="0" fontId="6" fillId="12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6" borderId="0" xfId="0" applyFont="1" applyFill="1" applyAlignment="1">
      <alignment horizontal="left"/>
    </xf>
    <xf numFmtId="0" fontId="3" fillId="6" borderId="0" xfId="0" applyFont="1" applyFill="1" applyAlignment="1">
      <alignment horizontal="center"/>
    </xf>
    <xf numFmtId="0" fontId="3" fillId="6" borderId="0" xfId="0" applyFont="1" applyFill="1"/>
    <xf numFmtId="0" fontId="3" fillId="6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Border="1"/>
    <xf numFmtId="0" fontId="3" fillId="0" borderId="0" xfId="0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74"/>
  <sheetViews>
    <sheetView showGridLines="0" tabSelected="1" zoomScale="80" zoomScaleNormal="80" workbookViewId="0" topLeftCell="A1">
      <selection activeCell="E74" sqref="E74"/>
    </sheetView>
  </sheetViews>
  <sheetFormatPr defaultColWidth="20.7109375" defaultRowHeight="15"/>
  <cols>
    <col min="1" max="1" width="0.71875" style="16" customWidth="1"/>
    <col min="2" max="2" width="68.28125" style="11" customWidth="1"/>
    <col min="3" max="3" width="20.140625" style="23" customWidth="1"/>
    <col min="4" max="4" width="11.00390625" style="17" customWidth="1"/>
    <col min="5" max="5" width="72.57421875" style="17" customWidth="1"/>
    <col min="6" max="6" width="20.421875" style="23" customWidth="1"/>
    <col min="7" max="7" width="11.00390625" style="16" customWidth="1"/>
    <col min="8" max="8" width="19.140625" style="24" bestFit="1" customWidth="1"/>
    <col min="9" max="9" width="24.8515625" style="16" bestFit="1" customWidth="1"/>
    <col min="10" max="10" width="23.421875" style="23" customWidth="1"/>
    <col min="11" max="11" width="29.8515625" style="16" customWidth="1"/>
    <col min="12" max="12" width="20.7109375" style="16" customWidth="1"/>
    <col min="13" max="13" width="30.57421875" style="16" bestFit="1" customWidth="1"/>
    <col min="14" max="14" width="20.7109375" style="16" customWidth="1"/>
    <col min="15" max="15" width="27.57421875" style="16" bestFit="1" customWidth="1"/>
    <col min="16" max="16384" width="20.7109375" style="16" customWidth="1"/>
  </cols>
  <sheetData>
    <row r="1" spans="5:9" ht="12" thickBot="1">
      <c r="E1" s="6"/>
      <c r="F1" s="9"/>
      <c r="G1" s="22"/>
      <c r="H1" s="21"/>
      <c r="I1" s="22"/>
    </row>
    <row r="2" spans="2:9" ht="15" customHeight="1">
      <c r="B2" s="101" t="s">
        <v>99</v>
      </c>
      <c r="C2" s="102"/>
      <c r="D2" s="103"/>
      <c r="E2" s="101" t="s">
        <v>97</v>
      </c>
      <c r="F2" s="102"/>
      <c r="G2" s="103"/>
      <c r="H2" s="10"/>
      <c r="I2" s="22"/>
    </row>
    <row r="3" spans="2:9" ht="15" customHeight="1" thickBot="1">
      <c r="B3" s="104"/>
      <c r="C3" s="105"/>
      <c r="D3" s="106"/>
      <c r="E3" s="104"/>
      <c r="F3" s="105"/>
      <c r="G3" s="106"/>
      <c r="H3" s="10"/>
      <c r="I3" s="22"/>
    </row>
    <row r="4" spans="2:9" ht="12" thickBot="1">
      <c r="B4" s="107" t="s">
        <v>100</v>
      </c>
      <c r="C4" s="107"/>
      <c r="D4" s="107"/>
      <c r="E4" s="98" t="s">
        <v>98</v>
      </c>
      <c r="F4" s="98"/>
      <c r="G4" s="98"/>
      <c r="H4" s="7"/>
      <c r="I4" s="22"/>
    </row>
    <row r="5" spans="1:9" ht="15">
      <c r="A5" s="42"/>
      <c r="B5" s="58" t="s">
        <v>0</v>
      </c>
      <c r="C5" s="59">
        <f>C31</f>
        <v>100</v>
      </c>
      <c r="D5" s="57" t="s">
        <v>1</v>
      </c>
      <c r="E5" s="58" t="s">
        <v>2</v>
      </c>
      <c r="F5" s="59">
        <f>C31</f>
        <v>100</v>
      </c>
      <c r="G5" s="57" t="s">
        <v>1</v>
      </c>
      <c r="H5" s="60"/>
      <c r="I5" s="22"/>
    </row>
    <row r="6" spans="1:9" ht="15">
      <c r="A6" s="42"/>
      <c r="B6" s="62" t="s">
        <v>116</v>
      </c>
      <c r="C6" s="63">
        <f>C56</f>
        <v>6</v>
      </c>
      <c r="D6" s="61" t="s">
        <v>3</v>
      </c>
      <c r="E6" s="62" t="s">
        <v>92</v>
      </c>
      <c r="F6" s="63">
        <f>C65</f>
        <v>5</v>
      </c>
      <c r="G6" s="61" t="s">
        <v>3</v>
      </c>
      <c r="H6" s="60"/>
      <c r="I6" s="22"/>
    </row>
    <row r="7" spans="1:9" ht="15">
      <c r="A7" s="42"/>
      <c r="B7" s="62" t="s">
        <v>4</v>
      </c>
      <c r="C7" s="63">
        <f>C5/C56</f>
        <v>16.666666666666668</v>
      </c>
      <c r="D7" s="61" t="s">
        <v>5</v>
      </c>
      <c r="E7" s="62" t="s">
        <v>6</v>
      </c>
      <c r="F7" s="63">
        <f>C44*C45</f>
        <v>24</v>
      </c>
      <c r="G7" s="61" t="s">
        <v>5</v>
      </c>
      <c r="H7" s="60"/>
      <c r="I7" s="22"/>
    </row>
    <row r="8" spans="1:9" ht="15">
      <c r="A8" s="42"/>
      <c r="B8" s="62" t="s">
        <v>7</v>
      </c>
      <c r="C8" s="63">
        <f>C9*C56</f>
        <v>3840</v>
      </c>
      <c r="D8" s="61" t="s">
        <v>8</v>
      </c>
      <c r="E8" s="62" t="s">
        <v>7</v>
      </c>
      <c r="F8" s="63">
        <f>C9*C56</f>
        <v>3840</v>
      </c>
      <c r="G8" s="61" t="s">
        <v>8</v>
      </c>
      <c r="H8" s="60"/>
      <c r="I8" s="22"/>
    </row>
    <row r="9" spans="1:9" ht="15">
      <c r="A9" s="42"/>
      <c r="B9" s="62" t="s">
        <v>9</v>
      </c>
      <c r="C9" s="63">
        <f>C40/C56</f>
        <v>640</v>
      </c>
      <c r="D9" s="61" t="s">
        <v>8</v>
      </c>
      <c r="E9" s="62" t="s">
        <v>9</v>
      </c>
      <c r="F9" s="63">
        <f>F8/(F6-C52)</f>
        <v>960</v>
      </c>
      <c r="G9" s="61" t="s">
        <v>8</v>
      </c>
      <c r="H9" s="60"/>
      <c r="I9" s="22"/>
    </row>
    <row r="10" spans="1:8" ht="15">
      <c r="A10" s="42"/>
      <c r="B10" s="62" t="s">
        <v>10</v>
      </c>
      <c r="C10" s="63">
        <f>C75/10</f>
        <v>9</v>
      </c>
      <c r="D10" s="61" t="s">
        <v>11</v>
      </c>
      <c r="E10" s="62" t="s">
        <v>10</v>
      </c>
      <c r="F10" s="63">
        <f>C75/10</f>
        <v>9</v>
      </c>
      <c r="G10" s="61" t="s">
        <v>11</v>
      </c>
      <c r="H10" s="43"/>
    </row>
    <row r="11" spans="1:8" ht="15">
      <c r="A11" s="42"/>
      <c r="B11" s="62" t="s">
        <v>12</v>
      </c>
      <c r="C11" s="63">
        <f>C77</f>
        <v>1500</v>
      </c>
      <c r="D11" s="61" t="s">
        <v>8</v>
      </c>
      <c r="E11" s="62" t="s">
        <v>12</v>
      </c>
      <c r="F11" s="63">
        <f>(F10/F6)*1000</f>
        <v>1800</v>
      </c>
      <c r="G11" s="61" t="s">
        <v>8</v>
      </c>
      <c r="H11" s="43"/>
    </row>
    <row r="12" spans="1:8" ht="15">
      <c r="A12" s="42"/>
      <c r="B12" s="62" t="s">
        <v>13</v>
      </c>
      <c r="C12" s="63">
        <f>C102</f>
        <v>60</v>
      </c>
      <c r="D12" s="61" t="s">
        <v>11</v>
      </c>
      <c r="E12" s="62" t="s">
        <v>128</v>
      </c>
      <c r="F12" s="63">
        <f>C117/1000</f>
        <v>130.8</v>
      </c>
      <c r="G12" s="61" t="s">
        <v>11</v>
      </c>
      <c r="H12" s="43"/>
    </row>
    <row r="13" spans="1:8" ht="15">
      <c r="A13" s="42"/>
      <c r="B13" s="62" t="s">
        <v>14</v>
      </c>
      <c r="C13" s="63">
        <f>ROUNDUP(((C102*1000)/C56),1)</f>
        <v>10000</v>
      </c>
      <c r="D13" s="61" t="s">
        <v>8</v>
      </c>
      <c r="E13" s="62" t="s">
        <v>15</v>
      </c>
      <c r="F13" s="63">
        <f>ROUNDUP((F12/F6),1)</f>
        <v>26.200000000000003</v>
      </c>
      <c r="G13" s="61" t="s">
        <v>11</v>
      </c>
      <c r="H13" s="43"/>
    </row>
    <row r="14" spans="1:8" ht="15">
      <c r="A14" s="42"/>
      <c r="B14" s="62" t="s">
        <v>16</v>
      </c>
      <c r="C14" s="63">
        <f>ROUNDUP(C107,2)</f>
        <v>90.91000000000001</v>
      </c>
      <c r="D14" s="61" t="s">
        <v>11</v>
      </c>
      <c r="E14" s="62" t="s">
        <v>17</v>
      </c>
      <c r="F14" s="63">
        <f>C121</f>
        <v>188.74458874458878</v>
      </c>
      <c r="G14" s="61" t="s">
        <v>11</v>
      </c>
      <c r="H14" s="43"/>
    </row>
    <row r="15" spans="1:8" ht="15">
      <c r="A15" s="42"/>
      <c r="B15" s="62" t="s">
        <v>18</v>
      </c>
      <c r="C15" s="63">
        <f>ROUNDUP(C14/C6,2)</f>
        <v>15.16</v>
      </c>
      <c r="D15" s="61" t="s">
        <v>11</v>
      </c>
      <c r="E15" s="62" t="s">
        <v>19</v>
      </c>
      <c r="F15" s="63">
        <f>F14/F6</f>
        <v>37.748917748917755</v>
      </c>
      <c r="G15" s="61" t="s">
        <v>11</v>
      </c>
      <c r="H15" s="43"/>
    </row>
    <row r="16" spans="1:8" ht="12" customHeight="1">
      <c r="A16" s="42"/>
      <c r="B16" s="62"/>
      <c r="C16" s="63"/>
      <c r="D16" s="61"/>
      <c r="E16" s="64"/>
      <c r="F16" s="65"/>
      <c r="G16" s="66"/>
      <c r="H16" s="43"/>
    </row>
    <row r="17" spans="1:8" ht="15">
      <c r="A17" s="42"/>
      <c r="B17" s="62" t="s">
        <v>130</v>
      </c>
      <c r="C17" s="63">
        <f>C57</f>
        <v>8</v>
      </c>
      <c r="D17" s="61" t="s">
        <v>3</v>
      </c>
      <c r="E17" s="62" t="s">
        <v>130</v>
      </c>
      <c r="F17" s="63">
        <f>C64</f>
        <v>6</v>
      </c>
      <c r="G17" s="61" t="s">
        <v>3</v>
      </c>
      <c r="H17" s="43"/>
    </row>
    <row r="18" spans="1:8" ht="15">
      <c r="A18" s="42"/>
      <c r="B18" s="62" t="s">
        <v>20</v>
      </c>
      <c r="C18" s="63">
        <f>C17*C7</f>
        <v>133.33333333333334</v>
      </c>
      <c r="D18" s="61" t="s">
        <v>1</v>
      </c>
      <c r="E18" s="62" t="s">
        <v>20</v>
      </c>
      <c r="F18" s="63">
        <f>F17*F7</f>
        <v>144</v>
      </c>
      <c r="G18" s="61" t="s">
        <v>1</v>
      </c>
      <c r="H18" s="43"/>
    </row>
    <row r="19" spans="1:8" ht="15">
      <c r="A19" s="42"/>
      <c r="B19" s="62" t="s">
        <v>7</v>
      </c>
      <c r="C19" s="63">
        <f>C17*C9</f>
        <v>5120</v>
      </c>
      <c r="D19" s="61" t="s">
        <v>8</v>
      </c>
      <c r="E19" s="62" t="s">
        <v>7</v>
      </c>
      <c r="F19" s="63">
        <f>F9*F6</f>
        <v>4800</v>
      </c>
      <c r="G19" s="61" t="s">
        <v>8</v>
      </c>
      <c r="H19" s="43"/>
    </row>
    <row r="20" spans="1:8" ht="15">
      <c r="A20" s="42"/>
      <c r="B20" s="62" t="s">
        <v>21</v>
      </c>
      <c r="C20" s="63">
        <f>(C11*C17)</f>
        <v>12000</v>
      </c>
      <c r="D20" s="61" t="s">
        <v>8</v>
      </c>
      <c r="E20" s="62" t="s">
        <v>21</v>
      </c>
      <c r="F20" s="63">
        <f>(F17*F11)</f>
        <v>10800</v>
      </c>
      <c r="G20" s="61" t="s">
        <v>8</v>
      </c>
      <c r="H20" s="43"/>
    </row>
    <row r="21" spans="1:8" ht="15">
      <c r="A21" s="42"/>
      <c r="B21" s="62" t="s">
        <v>95</v>
      </c>
      <c r="C21" s="63">
        <f>(C17*C15)</f>
        <v>121.28</v>
      </c>
      <c r="D21" s="61" t="s">
        <v>11</v>
      </c>
      <c r="E21" s="62" t="s">
        <v>96</v>
      </c>
      <c r="F21" s="63">
        <f>F17*F15</f>
        <v>226.49350649350652</v>
      </c>
      <c r="G21" s="61" t="s">
        <v>11</v>
      </c>
      <c r="H21" s="43"/>
    </row>
    <row r="22" spans="1:8" ht="12" thickBot="1">
      <c r="A22" s="42"/>
      <c r="B22" s="68"/>
      <c r="C22" s="69"/>
      <c r="D22" s="67"/>
      <c r="E22" s="117"/>
      <c r="F22" s="118"/>
      <c r="G22" s="119"/>
      <c r="H22" s="43"/>
    </row>
    <row r="23" spans="2:9" ht="15">
      <c r="B23" s="19"/>
      <c r="C23" s="19"/>
      <c r="D23" s="20"/>
      <c r="E23" s="20"/>
      <c r="F23" s="18"/>
      <c r="G23" s="1"/>
      <c r="H23" s="7"/>
      <c r="I23" s="22"/>
    </row>
    <row r="24" spans="1:19" ht="12" customHeight="1">
      <c r="A24" s="112"/>
      <c r="D24" s="31"/>
      <c r="E24" s="122"/>
      <c r="F24" s="123"/>
      <c r="G24" s="123"/>
      <c r="H24" s="122"/>
      <c r="I24" s="124"/>
      <c r="J24" s="14"/>
      <c r="K24" s="52"/>
      <c r="L24" s="52"/>
      <c r="M24" s="52"/>
      <c r="N24" s="52"/>
      <c r="O24" s="52"/>
      <c r="P24" s="52"/>
      <c r="Q24" s="52"/>
      <c r="R24" s="52"/>
      <c r="S24" s="52"/>
    </row>
    <row r="25" spans="1:19" ht="12" customHeight="1">
      <c r="A25" s="112"/>
      <c r="B25" s="120" t="s">
        <v>115</v>
      </c>
      <c r="C25" s="120"/>
      <c r="D25" s="31"/>
      <c r="L25" s="52"/>
      <c r="M25" s="52"/>
      <c r="N25" s="52"/>
      <c r="O25" s="52"/>
      <c r="P25" s="52"/>
      <c r="Q25" s="52"/>
      <c r="R25" s="52"/>
      <c r="S25" s="52"/>
    </row>
    <row r="26" spans="1:19" ht="12" customHeight="1">
      <c r="A26" s="112"/>
      <c r="B26" s="5" t="s">
        <v>22</v>
      </c>
      <c r="C26" s="70">
        <v>400</v>
      </c>
      <c r="D26" s="31"/>
      <c r="L26" s="52"/>
      <c r="M26" s="52"/>
      <c r="N26" s="52"/>
      <c r="O26" s="52"/>
      <c r="P26" s="52"/>
      <c r="Q26" s="52"/>
      <c r="R26" s="52"/>
      <c r="S26" s="52"/>
    </row>
    <row r="27" spans="1:19" ht="12" customHeight="1">
      <c r="A27" s="112"/>
      <c r="B27" s="3" t="s">
        <v>23</v>
      </c>
      <c r="C27" s="71">
        <v>4</v>
      </c>
      <c r="D27" s="31"/>
      <c r="L27" s="52"/>
      <c r="M27" s="52"/>
      <c r="N27" s="52"/>
      <c r="O27" s="52"/>
      <c r="P27" s="52"/>
      <c r="Q27" s="52"/>
      <c r="R27" s="52"/>
      <c r="S27" s="52"/>
    </row>
    <row r="28" spans="1:19" ht="12" customHeight="1">
      <c r="A28" s="112"/>
      <c r="B28" s="3" t="s">
        <v>24</v>
      </c>
      <c r="C28" s="72">
        <v>1</v>
      </c>
      <c r="D28" s="31"/>
      <c r="L28" s="52"/>
      <c r="M28" s="52"/>
      <c r="N28" s="52"/>
      <c r="O28" s="52"/>
      <c r="P28" s="52"/>
      <c r="Q28" s="52"/>
      <c r="R28" s="52"/>
      <c r="S28" s="52"/>
    </row>
    <row r="29" spans="1:19" ht="12" customHeight="1">
      <c r="A29" s="112"/>
      <c r="B29" s="3" t="s">
        <v>25</v>
      </c>
      <c r="C29" s="72">
        <f>C32/C27</f>
        <v>100</v>
      </c>
      <c r="D29" s="31"/>
      <c r="L29" s="52"/>
      <c r="M29" s="52"/>
      <c r="N29" s="52"/>
      <c r="O29" s="52"/>
      <c r="P29" s="52"/>
      <c r="Q29" s="52"/>
      <c r="R29" s="52"/>
      <c r="S29" s="52"/>
    </row>
    <row r="30" spans="1:19" ht="12" customHeight="1">
      <c r="A30" s="112"/>
      <c r="B30" s="3" t="s">
        <v>26</v>
      </c>
      <c r="C30" s="72">
        <v>0</v>
      </c>
      <c r="D30" s="31" t="s">
        <v>111</v>
      </c>
      <c r="L30" s="52"/>
      <c r="M30" s="52"/>
      <c r="N30" s="52"/>
      <c r="O30" s="52"/>
      <c r="P30" s="52"/>
      <c r="Q30" s="52"/>
      <c r="R30" s="52"/>
      <c r="S30" s="52"/>
    </row>
    <row r="31" spans="1:19" ht="12" customHeight="1" hidden="1">
      <c r="A31" s="112"/>
      <c r="B31" s="3" t="s">
        <v>27</v>
      </c>
      <c r="C31" s="35">
        <f>(C32/C27)+((C32/C27)*(C30/100))</f>
        <v>100</v>
      </c>
      <c r="D31" s="31"/>
      <c r="L31" s="52"/>
      <c r="M31" s="52"/>
      <c r="N31" s="52"/>
      <c r="O31" s="52"/>
      <c r="P31" s="52"/>
      <c r="Q31" s="52"/>
      <c r="R31" s="52"/>
      <c r="S31" s="52"/>
    </row>
    <row r="32" spans="1:19" ht="12" customHeight="1" hidden="1">
      <c r="A32" s="112"/>
      <c r="B32" s="3" t="s">
        <v>28</v>
      </c>
      <c r="C32" s="73">
        <f>C26*C28</f>
        <v>400</v>
      </c>
      <c r="D32" s="31"/>
      <c r="L32" s="52"/>
      <c r="M32" s="52"/>
      <c r="N32" s="52"/>
      <c r="O32" s="52"/>
      <c r="P32" s="52"/>
      <c r="Q32" s="52"/>
      <c r="R32" s="52"/>
      <c r="S32" s="52"/>
    </row>
    <row r="33" spans="1:19" ht="15" hidden="1">
      <c r="A33" s="112"/>
      <c r="B33" s="3" t="s">
        <v>29</v>
      </c>
      <c r="C33" s="74">
        <f>(C32/C27)+((C32/C27)*(30/100))</f>
        <v>130</v>
      </c>
      <c r="D33" s="31"/>
      <c r="L33" s="52"/>
      <c r="M33" s="52"/>
      <c r="N33" s="52"/>
      <c r="O33" s="52"/>
      <c r="P33" s="52"/>
      <c r="Q33" s="52"/>
      <c r="R33" s="52"/>
      <c r="S33" s="52"/>
    </row>
    <row r="34" spans="1:19" ht="12" customHeight="1">
      <c r="A34" s="112"/>
      <c r="B34" s="3" t="s">
        <v>30</v>
      </c>
      <c r="C34" s="70">
        <v>12</v>
      </c>
      <c r="D34" s="31"/>
      <c r="L34" s="52"/>
      <c r="M34" s="52"/>
      <c r="N34" s="52"/>
      <c r="O34" s="52"/>
      <c r="P34" s="52"/>
      <c r="Q34" s="52"/>
      <c r="R34" s="52"/>
      <c r="S34" s="52"/>
    </row>
    <row r="35" spans="1:19" ht="12" customHeight="1" hidden="1">
      <c r="A35" s="112"/>
      <c r="B35" s="3" t="s">
        <v>31</v>
      </c>
      <c r="C35" s="73">
        <f>C37-C41</f>
        <v>4800</v>
      </c>
      <c r="D35" s="31"/>
      <c r="L35" s="52"/>
      <c r="M35" s="52"/>
      <c r="N35" s="52"/>
      <c r="O35" s="52"/>
      <c r="P35" s="52"/>
      <c r="Q35" s="52"/>
      <c r="R35" s="52"/>
      <c r="S35" s="52"/>
    </row>
    <row r="36" spans="1:19" ht="12" customHeight="1">
      <c r="A36" s="112"/>
      <c r="B36" s="3" t="s">
        <v>32</v>
      </c>
      <c r="C36" s="44">
        <v>20</v>
      </c>
      <c r="D36" s="31" t="s">
        <v>111</v>
      </c>
      <c r="L36" s="52"/>
      <c r="M36" s="52"/>
      <c r="N36" s="52"/>
      <c r="O36" s="52"/>
      <c r="P36" s="52"/>
      <c r="Q36" s="52"/>
      <c r="R36" s="52"/>
      <c r="S36" s="52"/>
    </row>
    <row r="37" spans="1:19" ht="12" customHeight="1" hidden="1">
      <c r="A37" s="112"/>
      <c r="B37" s="3" t="s">
        <v>33</v>
      </c>
      <c r="C37" s="73">
        <f>((C26*C34))</f>
        <v>4800</v>
      </c>
      <c r="D37" s="31"/>
      <c r="L37" s="52"/>
      <c r="M37" s="52"/>
      <c r="N37" s="52"/>
      <c r="O37" s="52"/>
      <c r="P37" s="52"/>
      <c r="Q37" s="52"/>
      <c r="R37" s="52"/>
      <c r="S37" s="52"/>
    </row>
    <row r="38" spans="1:19" ht="12" customHeight="1">
      <c r="A38" s="112"/>
      <c r="B38" s="3" t="s">
        <v>34</v>
      </c>
      <c r="C38" s="72">
        <v>0</v>
      </c>
      <c r="D38" s="31" t="s">
        <v>111</v>
      </c>
      <c r="L38" s="52"/>
      <c r="M38" s="52"/>
      <c r="N38" s="52"/>
      <c r="O38" s="52"/>
      <c r="P38" s="52"/>
      <c r="Q38" s="52"/>
      <c r="R38" s="52"/>
      <c r="S38" s="52"/>
    </row>
    <row r="39" spans="1:19" ht="12" customHeight="1" hidden="1">
      <c r="A39" s="112"/>
      <c r="B39" s="3" t="s">
        <v>35</v>
      </c>
      <c r="C39" s="73">
        <f>((C26*C34)-((C26*C34)/100)*C36)</f>
        <v>3840</v>
      </c>
      <c r="D39" s="31"/>
      <c r="L39" s="52"/>
      <c r="M39" s="52"/>
      <c r="N39" s="52"/>
      <c r="O39" s="52"/>
      <c r="P39" s="52"/>
      <c r="Q39" s="52"/>
      <c r="R39" s="52"/>
      <c r="S39" s="52"/>
    </row>
    <row r="40" spans="1:19" ht="12" customHeight="1" hidden="1">
      <c r="A40" s="112"/>
      <c r="B40" s="3" t="s">
        <v>36</v>
      </c>
      <c r="C40" s="35">
        <f>C39+(C39*(C38/100))</f>
        <v>3840</v>
      </c>
      <c r="D40" s="31"/>
      <c r="L40" s="52"/>
      <c r="M40" s="52"/>
      <c r="N40" s="52"/>
      <c r="O40" s="52"/>
      <c r="P40" s="52"/>
      <c r="Q40" s="52"/>
      <c r="R40" s="52"/>
      <c r="S40" s="52"/>
    </row>
    <row r="41" spans="1:19" ht="12" customHeight="1">
      <c r="A41" s="112"/>
      <c r="B41" s="3" t="s">
        <v>37</v>
      </c>
      <c r="C41" s="70">
        <v>0</v>
      </c>
      <c r="D41" s="31"/>
      <c r="L41" s="52"/>
      <c r="M41" s="52"/>
      <c r="N41" s="52"/>
      <c r="O41" s="52"/>
      <c r="P41" s="52"/>
      <c r="Q41" s="52"/>
      <c r="R41" s="52"/>
      <c r="S41" s="52"/>
    </row>
    <row r="42" spans="2:19" ht="12" customHeight="1">
      <c r="B42" s="4"/>
      <c r="L42" s="52"/>
      <c r="M42" s="52"/>
      <c r="N42" s="52"/>
      <c r="O42" s="52"/>
      <c r="P42" s="52"/>
      <c r="Q42" s="52"/>
      <c r="R42" s="52"/>
      <c r="S42" s="52"/>
    </row>
    <row r="43" spans="2:19" ht="12" customHeight="1">
      <c r="B43" s="121" t="s">
        <v>38</v>
      </c>
      <c r="C43" s="121"/>
      <c r="L43" s="52"/>
      <c r="M43" s="52"/>
      <c r="N43" s="52"/>
      <c r="O43" s="52"/>
      <c r="P43" s="52"/>
      <c r="Q43" s="52"/>
      <c r="R43" s="52"/>
      <c r="S43" s="52"/>
    </row>
    <row r="44" spans="2:19" ht="12" customHeight="1">
      <c r="B44" s="26" t="s">
        <v>39</v>
      </c>
      <c r="C44" s="34">
        <v>2</v>
      </c>
      <c r="L44" s="52"/>
      <c r="M44" s="52"/>
      <c r="N44" s="52"/>
      <c r="O44" s="52"/>
      <c r="P44" s="52"/>
      <c r="Q44" s="52"/>
      <c r="R44" s="52"/>
      <c r="S44" s="52"/>
    </row>
    <row r="45" spans="2:19" ht="12" customHeight="1">
      <c r="B45" s="26" t="s">
        <v>40</v>
      </c>
      <c r="C45" s="34">
        <v>12</v>
      </c>
      <c r="L45" s="52"/>
      <c r="M45" s="52"/>
      <c r="N45" s="52"/>
      <c r="O45" s="52"/>
      <c r="P45" s="52"/>
      <c r="Q45" s="52"/>
      <c r="R45" s="52"/>
      <c r="S45" s="52"/>
    </row>
    <row r="46" spans="2:19" ht="12" customHeight="1">
      <c r="B46" s="26" t="s">
        <v>41</v>
      </c>
      <c r="C46" s="75">
        <f>C44*C45</f>
        <v>24</v>
      </c>
      <c r="L46" s="52"/>
      <c r="M46" s="52"/>
      <c r="N46" s="52"/>
      <c r="O46" s="52"/>
      <c r="P46" s="52"/>
      <c r="Q46" s="52"/>
      <c r="R46" s="52"/>
      <c r="S46" s="52"/>
    </row>
    <row r="47" spans="2:19" ht="12" customHeight="1">
      <c r="B47" s="1"/>
      <c r="C47" s="9"/>
      <c r="L47" s="52"/>
      <c r="M47" s="52"/>
      <c r="N47" s="52"/>
      <c r="O47" s="52"/>
      <c r="P47" s="52"/>
      <c r="Q47" s="52"/>
      <c r="R47" s="52"/>
      <c r="S47" s="52"/>
    </row>
    <row r="48" spans="2:19" ht="12" customHeight="1">
      <c r="B48" s="17" t="s">
        <v>132</v>
      </c>
      <c r="C48" s="9"/>
      <c r="L48" s="52"/>
      <c r="M48" s="52"/>
      <c r="N48" s="52"/>
      <c r="O48" s="52"/>
      <c r="P48" s="52"/>
      <c r="Q48" s="52"/>
      <c r="R48" s="52"/>
      <c r="S48" s="52"/>
    </row>
    <row r="49" spans="2:19" ht="12" customHeight="1">
      <c r="B49" s="99" t="s">
        <v>42</v>
      </c>
      <c r="C49" s="99"/>
      <c r="L49" s="52"/>
      <c r="M49" s="52"/>
      <c r="N49" s="52"/>
      <c r="O49" s="52"/>
      <c r="P49" s="52"/>
      <c r="Q49" s="52"/>
      <c r="R49" s="52"/>
      <c r="S49" s="52"/>
    </row>
    <row r="50" spans="2:19" ht="12" customHeight="1" hidden="1">
      <c r="B50" s="41" t="s">
        <v>43</v>
      </c>
      <c r="C50" s="76">
        <f>MAX(((C86*4)+(C87*6)),((C89*4)+(C90*6)),((C92*4)+(C93*6)))</f>
        <v>6</v>
      </c>
      <c r="L50" s="52"/>
      <c r="M50" s="52"/>
      <c r="N50" s="52"/>
      <c r="O50" s="52"/>
      <c r="P50" s="52"/>
      <c r="Q50" s="52"/>
      <c r="R50" s="52"/>
      <c r="S50" s="52"/>
    </row>
    <row r="51" spans="2:19" ht="12" customHeight="1">
      <c r="B51" s="27" t="s">
        <v>44</v>
      </c>
      <c r="C51" s="34">
        <v>1</v>
      </c>
      <c r="L51" s="52"/>
      <c r="M51" s="52"/>
      <c r="N51" s="52"/>
      <c r="O51" s="52"/>
      <c r="P51" s="52"/>
      <c r="Q51" s="52"/>
      <c r="R51" s="52"/>
      <c r="S51" s="52"/>
    </row>
    <row r="52" spans="2:19" ht="12" customHeight="1">
      <c r="B52" s="25" t="s">
        <v>45</v>
      </c>
      <c r="C52" s="71">
        <v>1</v>
      </c>
      <c r="L52" s="52"/>
      <c r="M52" s="52"/>
      <c r="N52" s="52"/>
      <c r="O52" s="52"/>
      <c r="P52" s="52"/>
      <c r="Q52" s="52"/>
      <c r="R52" s="52"/>
      <c r="S52" s="52"/>
    </row>
    <row r="53" spans="2:19" ht="12" customHeight="1" hidden="1">
      <c r="B53" s="33" t="s">
        <v>101</v>
      </c>
      <c r="C53" s="77">
        <f>C50+C51+C52</f>
        <v>8</v>
      </c>
      <c r="L53" s="52"/>
      <c r="M53" s="52"/>
      <c r="N53" s="52"/>
      <c r="O53" s="52"/>
      <c r="P53" s="52"/>
      <c r="Q53" s="52"/>
      <c r="R53" s="52"/>
      <c r="S53" s="52"/>
    </row>
    <row r="54" spans="2:19" ht="12" customHeight="1" hidden="1">
      <c r="B54" s="26" t="s">
        <v>46</v>
      </c>
      <c r="C54" s="78">
        <f>ROUNDUP((C31/C46),0)</f>
        <v>5</v>
      </c>
      <c r="L54" s="52"/>
      <c r="M54" s="52"/>
      <c r="N54" s="52"/>
      <c r="O54" s="52"/>
      <c r="P54" s="52"/>
      <c r="Q54" s="52"/>
      <c r="R54" s="52"/>
      <c r="S54" s="52"/>
    </row>
    <row r="55" spans="2:19" ht="12" customHeight="1" hidden="1">
      <c r="B55" s="26" t="s">
        <v>47</v>
      </c>
      <c r="C55" s="78">
        <f>C54+C51+C52</f>
        <v>7</v>
      </c>
      <c r="L55" s="52"/>
      <c r="M55" s="52"/>
      <c r="N55" s="52"/>
      <c r="O55" s="52"/>
      <c r="P55" s="52"/>
      <c r="Q55" s="52"/>
      <c r="R55" s="52"/>
      <c r="S55" s="52"/>
    </row>
    <row r="56" spans="2:19" ht="12" customHeight="1" hidden="1">
      <c r="B56" s="79" t="s">
        <v>46</v>
      </c>
      <c r="C56" s="75">
        <f>MAX(C50,C54)</f>
        <v>6</v>
      </c>
      <c r="L56" s="52"/>
      <c r="M56" s="52"/>
      <c r="N56" s="52"/>
      <c r="O56" s="52"/>
      <c r="P56" s="52"/>
      <c r="Q56" s="52"/>
      <c r="R56" s="52"/>
      <c r="S56" s="52"/>
    </row>
    <row r="57" spans="2:19" ht="12" customHeight="1" hidden="1">
      <c r="B57" s="79" t="s">
        <v>47</v>
      </c>
      <c r="C57" s="75">
        <f>C56+C51+C52</f>
        <v>8</v>
      </c>
      <c r="L57" s="52"/>
      <c r="M57" s="52"/>
      <c r="N57" s="52"/>
      <c r="O57" s="52"/>
      <c r="P57" s="52"/>
      <c r="Q57" s="52"/>
      <c r="R57" s="52"/>
      <c r="S57" s="52"/>
    </row>
    <row r="58" spans="2:19" ht="12" customHeight="1">
      <c r="B58" s="80"/>
      <c r="L58" s="52"/>
      <c r="M58" s="52"/>
      <c r="N58" s="52"/>
      <c r="O58" s="52"/>
      <c r="P58" s="52"/>
      <c r="Q58" s="52"/>
      <c r="R58" s="52"/>
      <c r="S58" s="52"/>
    </row>
    <row r="59" spans="2:19" ht="12" customHeight="1">
      <c r="B59" s="100" t="s">
        <v>48</v>
      </c>
      <c r="C59" s="100"/>
      <c r="L59" s="52"/>
      <c r="M59" s="52"/>
      <c r="N59" s="52"/>
      <c r="O59" s="52"/>
      <c r="P59" s="52"/>
      <c r="Q59" s="52"/>
      <c r="R59" s="52"/>
      <c r="S59" s="52"/>
    </row>
    <row r="60" spans="2:19" ht="12" customHeight="1" hidden="1">
      <c r="B60" s="41" t="s">
        <v>49</v>
      </c>
      <c r="C60" s="76">
        <v>3</v>
      </c>
      <c r="L60" s="52"/>
      <c r="M60" s="52"/>
      <c r="N60" s="52"/>
      <c r="O60" s="52"/>
      <c r="P60" s="52"/>
      <c r="Q60" s="52"/>
      <c r="R60" s="52"/>
      <c r="S60" s="52"/>
    </row>
    <row r="61" spans="2:19" ht="12" customHeight="1">
      <c r="B61" s="25" t="s">
        <v>45</v>
      </c>
      <c r="C61" s="71">
        <v>1</v>
      </c>
      <c r="L61" s="52"/>
      <c r="M61" s="52"/>
      <c r="N61" s="52"/>
      <c r="O61" s="52"/>
      <c r="P61" s="52"/>
      <c r="Q61" s="52"/>
      <c r="R61" s="52"/>
      <c r="S61" s="52"/>
    </row>
    <row r="62" spans="2:19" ht="12" customHeight="1" hidden="1">
      <c r="B62" s="33" t="s">
        <v>101</v>
      </c>
      <c r="C62" s="77">
        <f>MAX(C60,C63)</f>
        <v>5</v>
      </c>
      <c r="L62" s="52"/>
      <c r="M62" s="52"/>
      <c r="N62" s="52"/>
      <c r="O62" s="52"/>
      <c r="P62" s="52"/>
      <c r="Q62" s="52"/>
      <c r="R62" s="52"/>
      <c r="S62" s="52"/>
    </row>
    <row r="63" spans="2:19" ht="12" customHeight="1" hidden="1">
      <c r="B63" s="26" t="s">
        <v>46</v>
      </c>
      <c r="C63" s="78">
        <f>ROUNDUP((C31/C46),0)</f>
        <v>5</v>
      </c>
      <c r="L63" s="52"/>
      <c r="M63" s="52"/>
      <c r="N63" s="52"/>
      <c r="O63" s="52"/>
      <c r="P63" s="52"/>
      <c r="Q63" s="52"/>
      <c r="R63" s="52"/>
      <c r="S63" s="52"/>
    </row>
    <row r="64" spans="2:19" ht="12" customHeight="1" hidden="1">
      <c r="B64" s="26" t="s">
        <v>50</v>
      </c>
      <c r="C64" s="78">
        <f>C62+C61</f>
        <v>6</v>
      </c>
      <c r="L64" s="52"/>
      <c r="M64" s="52"/>
      <c r="N64" s="52"/>
      <c r="O64" s="52"/>
      <c r="P64" s="52"/>
      <c r="Q64" s="52"/>
      <c r="R64" s="52"/>
      <c r="S64" s="52"/>
    </row>
    <row r="65" spans="2:19" ht="12" customHeight="1" hidden="1">
      <c r="B65" s="79" t="s">
        <v>51</v>
      </c>
      <c r="C65" s="75">
        <f>C62</f>
        <v>5</v>
      </c>
      <c r="L65" s="52"/>
      <c r="M65" s="52"/>
      <c r="N65" s="52"/>
      <c r="O65" s="52"/>
      <c r="P65" s="52"/>
      <c r="Q65" s="52"/>
      <c r="R65" s="52"/>
      <c r="S65" s="52"/>
    </row>
    <row r="66" spans="2:19" ht="12" customHeight="1" hidden="1">
      <c r="B66" s="79" t="s">
        <v>47</v>
      </c>
      <c r="C66" s="75">
        <f>C65+C61</f>
        <v>6</v>
      </c>
      <c r="L66" s="52"/>
      <c r="M66" s="52"/>
      <c r="N66" s="52"/>
      <c r="O66" s="52"/>
      <c r="P66" s="52"/>
      <c r="Q66" s="52"/>
      <c r="R66" s="52"/>
      <c r="S66" s="52"/>
    </row>
    <row r="67" spans="2:19" s="42" customFormat="1" ht="12" customHeight="1">
      <c r="B67" s="81"/>
      <c r="C67" s="40"/>
      <c r="D67" s="39"/>
      <c r="L67" s="127"/>
      <c r="M67" s="127"/>
      <c r="N67" s="127"/>
      <c r="O67" s="127"/>
      <c r="P67" s="127"/>
      <c r="Q67" s="127"/>
      <c r="R67" s="127"/>
      <c r="S67" s="127"/>
    </row>
    <row r="68" spans="2:19" ht="12" customHeight="1">
      <c r="B68" s="120" t="s">
        <v>52</v>
      </c>
      <c r="C68" s="120"/>
      <c r="L68" s="52"/>
      <c r="M68" s="52"/>
      <c r="N68" s="52"/>
      <c r="O68" s="52"/>
      <c r="P68" s="52"/>
      <c r="Q68" s="52"/>
      <c r="R68" s="52"/>
      <c r="S68" s="52"/>
    </row>
    <row r="69" spans="2:19" ht="12" customHeight="1">
      <c r="B69" s="15" t="s">
        <v>53</v>
      </c>
      <c r="C69" s="70">
        <v>100</v>
      </c>
      <c r="L69" s="52"/>
      <c r="M69" s="52"/>
      <c r="N69" s="52"/>
      <c r="O69" s="52"/>
      <c r="P69" s="52"/>
      <c r="Q69" s="52"/>
      <c r="R69" s="52"/>
      <c r="S69" s="52"/>
    </row>
    <row r="70" spans="2:19" ht="12" customHeight="1">
      <c r="B70" s="15" t="s">
        <v>54</v>
      </c>
      <c r="C70" s="70">
        <v>200</v>
      </c>
      <c r="L70" s="52"/>
      <c r="M70" s="52"/>
      <c r="N70" s="52"/>
      <c r="O70" s="52"/>
      <c r="P70" s="52"/>
      <c r="Q70" s="52"/>
      <c r="R70" s="52"/>
      <c r="S70" s="52"/>
    </row>
    <row r="71" spans="2:19" ht="12" customHeight="1">
      <c r="B71" s="15" t="s">
        <v>55</v>
      </c>
      <c r="C71" s="70">
        <v>0</v>
      </c>
      <c r="L71" s="52"/>
      <c r="M71" s="52"/>
      <c r="N71" s="52"/>
      <c r="O71" s="52"/>
      <c r="P71" s="52"/>
      <c r="Q71" s="52"/>
      <c r="R71" s="52"/>
      <c r="S71" s="52"/>
    </row>
    <row r="72" spans="2:19" ht="12" customHeight="1">
      <c r="B72" s="12" t="s">
        <v>56</v>
      </c>
      <c r="C72" s="82">
        <v>75</v>
      </c>
      <c r="D72" s="17" t="s">
        <v>111</v>
      </c>
      <c r="L72" s="52"/>
      <c r="M72" s="52"/>
      <c r="N72" s="52"/>
      <c r="O72" s="52"/>
      <c r="P72" s="52"/>
      <c r="Q72" s="52"/>
      <c r="R72" s="52"/>
      <c r="S72" s="52"/>
    </row>
    <row r="73" spans="2:19" ht="12" customHeight="1">
      <c r="B73" s="28" t="s">
        <v>57</v>
      </c>
      <c r="C73" s="83">
        <v>75</v>
      </c>
      <c r="D73" s="17" t="s">
        <v>111</v>
      </c>
      <c r="L73" s="52"/>
      <c r="M73" s="52"/>
      <c r="N73" s="52"/>
      <c r="O73" s="52"/>
      <c r="P73" s="52"/>
      <c r="Q73" s="52"/>
      <c r="R73" s="52"/>
      <c r="S73" s="52"/>
    </row>
    <row r="74" spans="2:19" ht="12" customHeight="1">
      <c r="B74" s="28" t="s">
        <v>58</v>
      </c>
      <c r="C74" s="83">
        <v>100</v>
      </c>
      <c r="D74" s="17" t="s">
        <v>111</v>
      </c>
      <c r="L74" s="52"/>
      <c r="M74" s="52"/>
      <c r="N74" s="52"/>
      <c r="O74" s="52"/>
      <c r="P74" s="52"/>
      <c r="Q74" s="52"/>
      <c r="R74" s="52"/>
      <c r="S74" s="52"/>
    </row>
    <row r="75" spans="2:19" ht="12" customHeight="1" hidden="1">
      <c r="B75" s="15" t="s">
        <v>59</v>
      </c>
      <c r="C75" s="35">
        <f>(((C26*C69)*(C72/100))+((C26*C70)*(C73/100))+((C26*C71)*(C74/100)))/1000</f>
        <v>90</v>
      </c>
      <c r="L75" s="52"/>
      <c r="M75" s="52"/>
      <c r="N75" s="52"/>
      <c r="O75" s="52"/>
      <c r="P75" s="52"/>
      <c r="Q75" s="52"/>
      <c r="R75" s="52"/>
      <c r="S75" s="52"/>
    </row>
    <row r="76" spans="2:19" ht="12" customHeight="1" hidden="1">
      <c r="B76" s="27" t="s">
        <v>60</v>
      </c>
      <c r="C76" s="75">
        <f>C75/10</f>
        <v>9</v>
      </c>
      <c r="D76" s="95"/>
      <c r="L76" s="52"/>
      <c r="M76" s="52"/>
      <c r="N76" s="52"/>
      <c r="O76" s="52"/>
      <c r="P76" s="52"/>
      <c r="Q76" s="52"/>
      <c r="R76" s="52"/>
      <c r="S76" s="52"/>
    </row>
    <row r="77" spans="2:19" ht="12" customHeight="1" hidden="1">
      <c r="B77" s="84" t="s">
        <v>61</v>
      </c>
      <c r="C77" s="75">
        <f>(C76/C56)*1000</f>
        <v>1500</v>
      </c>
      <c r="L77" s="52"/>
      <c r="M77" s="52"/>
      <c r="N77" s="52"/>
      <c r="O77" s="52"/>
      <c r="P77" s="52"/>
      <c r="Q77" s="52"/>
      <c r="R77" s="52"/>
      <c r="S77" s="52"/>
    </row>
    <row r="78" spans="2:19" ht="12" customHeight="1">
      <c r="B78" s="13" t="s">
        <v>62</v>
      </c>
      <c r="C78" s="70">
        <v>2</v>
      </c>
      <c r="L78" s="52"/>
      <c r="M78" s="52"/>
      <c r="N78" s="52"/>
      <c r="O78" s="52"/>
      <c r="P78" s="52"/>
      <c r="Q78" s="52"/>
      <c r="R78" s="52"/>
      <c r="S78" s="52"/>
    </row>
    <row r="79" spans="2:19" ht="12" customHeight="1" hidden="1">
      <c r="B79" s="13" t="s">
        <v>63</v>
      </c>
      <c r="C79" s="73">
        <f>C102*((C78*C80)/100)</f>
        <v>3</v>
      </c>
      <c r="L79" s="52"/>
      <c r="M79" s="52"/>
      <c r="N79" s="52"/>
      <c r="O79" s="52"/>
      <c r="P79" s="52"/>
      <c r="Q79" s="52"/>
      <c r="R79" s="52"/>
      <c r="S79" s="52"/>
    </row>
    <row r="80" spans="2:19" ht="12" customHeight="1">
      <c r="B80" s="13" t="s">
        <v>134</v>
      </c>
      <c r="C80" s="70">
        <v>2.5</v>
      </c>
      <c r="D80" s="17" t="s">
        <v>111</v>
      </c>
      <c r="L80" s="52"/>
      <c r="M80" s="52"/>
      <c r="N80" s="52"/>
      <c r="O80" s="52"/>
      <c r="P80" s="52"/>
      <c r="Q80" s="52"/>
      <c r="R80" s="52"/>
      <c r="S80" s="52"/>
    </row>
    <row r="81" spans="2:19" ht="12" customHeight="1" hidden="1">
      <c r="B81" s="13" t="s">
        <v>64</v>
      </c>
      <c r="C81" s="35">
        <f>C78*C80</f>
        <v>5</v>
      </c>
      <c r="D81" s="17" t="s">
        <v>111</v>
      </c>
      <c r="L81" s="52"/>
      <c r="M81" s="52"/>
      <c r="N81" s="52"/>
      <c r="O81" s="52"/>
      <c r="P81" s="52"/>
      <c r="Q81" s="52"/>
      <c r="R81" s="52"/>
      <c r="S81" s="52"/>
    </row>
    <row r="82" spans="2:19" ht="12" customHeight="1" hidden="1">
      <c r="B82" s="13" t="s">
        <v>65</v>
      </c>
      <c r="C82" s="35">
        <v>30</v>
      </c>
      <c r="L82" s="52"/>
      <c r="M82" s="52"/>
      <c r="N82" s="52"/>
      <c r="O82" s="52"/>
      <c r="P82" s="52"/>
      <c r="Q82" s="52"/>
      <c r="R82" s="52"/>
      <c r="S82" s="52"/>
    </row>
    <row r="83" spans="12:19" ht="12" customHeight="1">
      <c r="L83" s="52"/>
      <c r="M83" s="52"/>
      <c r="N83" s="52"/>
      <c r="O83" s="52"/>
      <c r="P83" s="52"/>
      <c r="Q83" s="52"/>
      <c r="R83" s="52"/>
      <c r="S83" s="52"/>
    </row>
    <row r="84" spans="2:19" ht="12" customHeight="1" thickBot="1">
      <c r="B84" s="110" t="s">
        <v>91</v>
      </c>
      <c r="C84" s="111"/>
      <c r="L84" s="52"/>
      <c r="M84" s="52"/>
      <c r="N84" s="52"/>
      <c r="O84" s="52"/>
      <c r="P84" s="52"/>
      <c r="Q84" s="52"/>
      <c r="R84" s="52"/>
      <c r="S84" s="52"/>
    </row>
    <row r="85" spans="2:19" ht="12" customHeight="1">
      <c r="B85" s="85" t="s">
        <v>66</v>
      </c>
      <c r="C85" s="86">
        <v>1</v>
      </c>
      <c r="L85" s="52"/>
      <c r="M85" s="52"/>
      <c r="N85" s="52"/>
      <c r="O85" s="52"/>
      <c r="P85" s="52"/>
      <c r="Q85" s="52"/>
      <c r="R85" s="52"/>
      <c r="S85" s="52"/>
    </row>
    <row r="86" spans="2:19" ht="12" customHeight="1">
      <c r="B86" s="87" t="s">
        <v>67</v>
      </c>
      <c r="C86" s="47">
        <v>0</v>
      </c>
      <c r="L86" s="52"/>
      <c r="M86" s="52"/>
      <c r="N86" s="52"/>
      <c r="O86" s="52"/>
      <c r="P86" s="52"/>
      <c r="Q86" s="52"/>
      <c r="R86" s="52"/>
      <c r="S86" s="52"/>
    </row>
    <row r="87" spans="2:19" ht="12" customHeight="1" thickBot="1">
      <c r="B87" s="88" t="s">
        <v>68</v>
      </c>
      <c r="C87" s="48">
        <v>0</v>
      </c>
      <c r="L87" s="52"/>
      <c r="M87" s="14"/>
      <c r="N87" s="129"/>
      <c r="O87" s="14"/>
      <c r="P87" s="29"/>
      <c r="Q87" s="52"/>
      <c r="R87" s="52"/>
      <c r="S87" s="52"/>
    </row>
    <row r="88" spans="2:19" ht="12" customHeight="1">
      <c r="B88" s="89" t="s">
        <v>69</v>
      </c>
      <c r="C88" s="49">
        <v>0</v>
      </c>
      <c r="L88" s="52"/>
      <c r="M88" s="14"/>
      <c r="N88" s="129"/>
      <c r="O88" s="14"/>
      <c r="P88" s="29"/>
      <c r="Q88" s="52"/>
      <c r="R88" s="52"/>
      <c r="S88" s="52"/>
    </row>
    <row r="89" spans="2:19" ht="12" customHeight="1">
      <c r="B89" s="87" t="s">
        <v>70</v>
      </c>
      <c r="C89" s="50">
        <v>0</v>
      </c>
      <c r="L89" s="52"/>
      <c r="M89" s="14"/>
      <c r="N89" s="51"/>
      <c r="O89" s="14"/>
      <c r="P89" s="29"/>
      <c r="Q89" s="52"/>
      <c r="R89" s="52"/>
      <c r="S89" s="52"/>
    </row>
    <row r="90" spans="2:19" ht="12" thickBot="1">
      <c r="B90" s="88" t="s">
        <v>71</v>
      </c>
      <c r="C90" s="48">
        <v>1</v>
      </c>
      <c r="L90" s="52"/>
      <c r="M90" s="14"/>
      <c r="N90" s="51"/>
      <c r="O90" s="14"/>
      <c r="P90" s="29"/>
      <c r="Q90" s="52"/>
      <c r="R90" s="52"/>
      <c r="S90" s="52"/>
    </row>
    <row r="91" spans="2:19" ht="15">
      <c r="B91" s="89" t="s">
        <v>72</v>
      </c>
      <c r="C91" s="49">
        <v>0</v>
      </c>
      <c r="L91" s="52"/>
      <c r="M91" s="14"/>
      <c r="N91" s="51"/>
      <c r="O91" s="14"/>
      <c r="P91" s="29"/>
      <c r="Q91" s="52"/>
      <c r="R91" s="52"/>
      <c r="S91" s="52"/>
    </row>
    <row r="92" spans="2:19" ht="15">
      <c r="B92" s="87" t="s">
        <v>73</v>
      </c>
      <c r="C92" s="50">
        <v>0</v>
      </c>
      <c r="L92" s="52"/>
      <c r="M92" s="52"/>
      <c r="N92" s="52"/>
      <c r="O92" s="14"/>
      <c r="P92" s="29"/>
      <c r="Q92" s="52"/>
      <c r="R92" s="52"/>
      <c r="S92" s="52"/>
    </row>
    <row r="93" spans="2:19" ht="12" thickBot="1">
      <c r="B93" s="88" t="s">
        <v>74</v>
      </c>
      <c r="C93" s="48">
        <v>0</v>
      </c>
      <c r="L93" s="52"/>
      <c r="M93" s="52"/>
      <c r="N93" s="52"/>
      <c r="O93" s="14"/>
      <c r="P93" s="29"/>
      <c r="Q93" s="52"/>
      <c r="R93" s="52"/>
      <c r="S93" s="52"/>
    </row>
    <row r="94" spans="2:19" ht="15">
      <c r="B94" s="25" t="s">
        <v>108</v>
      </c>
      <c r="C94" s="71">
        <v>4</v>
      </c>
      <c r="L94" s="52"/>
      <c r="M94" s="52"/>
      <c r="N94" s="52"/>
      <c r="O94" s="14"/>
      <c r="P94" s="29"/>
      <c r="Q94" s="52"/>
      <c r="R94" s="52"/>
      <c r="S94" s="52"/>
    </row>
    <row r="95" spans="2:19" ht="15">
      <c r="B95" s="15" t="s">
        <v>109</v>
      </c>
      <c r="C95" s="70">
        <v>2</v>
      </c>
      <c r="L95" s="52"/>
      <c r="M95" s="52"/>
      <c r="N95" s="52"/>
      <c r="O95" s="14"/>
      <c r="P95" s="29"/>
      <c r="Q95" s="52"/>
      <c r="R95" s="52"/>
      <c r="S95" s="52"/>
    </row>
    <row r="96" spans="2:19" ht="15">
      <c r="B96" s="15" t="s">
        <v>110</v>
      </c>
      <c r="C96" s="70">
        <v>1</v>
      </c>
      <c r="L96" s="52"/>
      <c r="M96" s="52"/>
      <c r="N96" s="52"/>
      <c r="O96" s="14"/>
      <c r="P96" s="29"/>
      <c r="Q96" s="52"/>
      <c r="R96" s="52"/>
      <c r="S96" s="52"/>
    </row>
    <row r="97" spans="2:19" ht="15" hidden="1">
      <c r="B97" s="15" t="s">
        <v>75</v>
      </c>
      <c r="C97" s="73">
        <f>ROUNDUP((C69*(1+AS1235))/C94,2)</f>
        <v>50</v>
      </c>
      <c r="L97" s="52"/>
      <c r="M97" s="52"/>
      <c r="N97" s="52"/>
      <c r="O97" s="14"/>
      <c r="P97" s="29"/>
      <c r="Q97" s="52"/>
      <c r="R97" s="52"/>
      <c r="S97" s="52"/>
    </row>
    <row r="98" spans="2:19" ht="15" hidden="1">
      <c r="B98" s="15" t="s">
        <v>76</v>
      </c>
      <c r="C98" s="73">
        <f>(C70*(1+AS1236))/C95</f>
        <v>150</v>
      </c>
      <c r="L98" s="52"/>
      <c r="M98" s="14"/>
      <c r="N98" s="129"/>
      <c r="O98" s="14"/>
      <c r="P98" s="29"/>
      <c r="Q98" s="52"/>
      <c r="R98" s="52"/>
      <c r="S98" s="52"/>
    </row>
    <row r="99" spans="2:19" ht="15" hidden="1">
      <c r="B99" s="15" t="s">
        <v>77</v>
      </c>
      <c r="C99" s="90">
        <f>(C71*(1+AS1237))/C95</f>
        <v>0</v>
      </c>
      <c r="L99" s="52"/>
      <c r="M99" s="130"/>
      <c r="N99" s="130"/>
      <c r="O99" s="14"/>
      <c r="P99" s="29"/>
      <c r="Q99" s="52"/>
      <c r="R99" s="52"/>
      <c r="S99" s="52"/>
    </row>
    <row r="100" spans="1:19" ht="15" hidden="1">
      <c r="A100" s="32"/>
      <c r="B100" s="37" t="s">
        <v>78</v>
      </c>
      <c r="C100" s="91">
        <f>((C26*C69)*(1+AR1234+AR1235))+((C26*C70)*(1+AR1237+AR1238))+((C26*C71)*(1+AR1240+AR1241))</f>
        <v>160000</v>
      </c>
      <c r="L100" s="52"/>
      <c r="M100" s="130"/>
      <c r="N100" s="130"/>
      <c r="O100" s="14"/>
      <c r="P100" s="29"/>
      <c r="Q100" s="52"/>
      <c r="R100" s="52"/>
      <c r="S100" s="52"/>
    </row>
    <row r="101" spans="1:19" ht="15" hidden="1">
      <c r="A101" s="32"/>
      <c r="B101" s="33" t="s">
        <v>79</v>
      </c>
      <c r="C101" s="92">
        <f>(C97+C98+C99)*C26</f>
        <v>80000</v>
      </c>
      <c r="L101" s="52"/>
      <c r="M101" s="130"/>
      <c r="N101" s="130"/>
      <c r="O101" s="14"/>
      <c r="P101" s="29"/>
      <c r="Q101" s="52"/>
      <c r="R101" s="52"/>
      <c r="S101" s="52"/>
    </row>
    <row r="102" spans="1:19" ht="15" hidden="1">
      <c r="A102" s="32"/>
      <c r="B102" s="93" t="s">
        <v>80</v>
      </c>
      <c r="C102" s="94">
        <f>(((C97*(C72/100))+(C98*(C73/100))+(C99*(C74/100)))*C26)/1000</f>
        <v>60</v>
      </c>
      <c r="L102" s="52"/>
      <c r="M102" s="130"/>
      <c r="N102" s="130"/>
      <c r="O102" s="14"/>
      <c r="P102" s="29"/>
      <c r="Q102" s="52"/>
      <c r="R102" s="52"/>
      <c r="S102" s="52"/>
    </row>
    <row r="103" spans="1:19" ht="12" thickBot="1">
      <c r="A103" s="32"/>
      <c r="B103" s="15" t="s">
        <v>106</v>
      </c>
      <c r="C103" s="83">
        <v>10</v>
      </c>
      <c r="D103" s="17" t="s">
        <v>111</v>
      </c>
      <c r="L103" s="52"/>
      <c r="M103" s="130"/>
      <c r="N103" s="130"/>
      <c r="O103" s="14"/>
      <c r="P103" s="29"/>
      <c r="Q103" s="52"/>
      <c r="R103" s="52"/>
      <c r="S103" s="52"/>
    </row>
    <row r="104" spans="1:19" ht="15" hidden="1">
      <c r="A104" s="32"/>
      <c r="B104" s="15" t="s">
        <v>107</v>
      </c>
      <c r="C104" s="35">
        <f>C102/(100/10)</f>
        <v>6</v>
      </c>
      <c r="L104" s="52"/>
      <c r="M104" s="130"/>
      <c r="N104" s="130"/>
      <c r="O104" s="14"/>
      <c r="P104" s="29"/>
      <c r="Q104" s="52"/>
      <c r="R104" s="52"/>
      <c r="S104" s="52"/>
    </row>
    <row r="105" spans="1:19" ht="15" hidden="1">
      <c r="A105" s="32"/>
      <c r="B105" s="13" t="s">
        <v>81</v>
      </c>
      <c r="C105" s="73">
        <f>C102+C79</f>
        <v>63</v>
      </c>
      <c r="L105" s="52"/>
      <c r="M105" s="130"/>
      <c r="N105" s="130"/>
      <c r="O105" s="14"/>
      <c r="P105" s="29"/>
      <c r="Q105" s="52"/>
      <c r="R105" s="52"/>
      <c r="S105" s="52"/>
    </row>
    <row r="106" spans="1:19" ht="12" customHeight="1" hidden="1">
      <c r="A106" s="32"/>
      <c r="B106" s="13" t="s">
        <v>82</v>
      </c>
      <c r="C106" s="73">
        <f>(C105/0.7)</f>
        <v>90</v>
      </c>
      <c r="L106" s="52"/>
      <c r="M106" s="131"/>
      <c r="N106" s="130"/>
      <c r="O106" s="14"/>
      <c r="P106" s="29"/>
      <c r="Q106" s="52"/>
      <c r="R106" s="52"/>
      <c r="S106" s="52"/>
    </row>
    <row r="107" spans="1:19" ht="12" hidden="1" thickBot="1">
      <c r="A107" s="32"/>
      <c r="B107" s="13" t="s">
        <v>83</v>
      </c>
      <c r="C107" s="35">
        <f>C106/0.99</f>
        <v>90.9090909090909</v>
      </c>
      <c r="L107" s="52"/>
      <c r="M107" s="130"/>
      <c r="N107" s="130"/>
      <c r="O107" s="14"/>
      <c r="P107" s="29"/>
      <c r="Q107" s="52"/>
      <c r="R107" s="52"/>
      <c r="S107" s="52"/>
    </row>
    <row r="108" spans="1:19" ht="15">
      <c r="A108" s="113"/>
      <c r="B108" s="16"/>
      <c r="C108" s="16"/>
      <c r="L108" s="52"/>
      <c r="M108" s="131"/>
      <c r="N108" s="130"/>
      <c r="O108" s="14"/>
      <c r="P108" s="29"/>
      <c r="Q108" s="52"/>
      <c r="R108" s="52"/>
      <c r="S108" s="52"/>
    </row>
    <row r="109" spans="1:19" ht="15">
      <c r="A109" s="114"/>
      <c r="B109" s="100" t="s">
        <v>133</v>
      </c>
      <c r="C109" s="100"/>
      <c r="L109" s="52"/>
      <c r="M109" s="130"/>
      <c r="N109" s="130"/>
      <c r="O109" s="52"/>
      <c r="P109" s="29"/>
      <c r="Q109" s="52"/>
      <c r="R109" s="52"/>
      <c r="S109" s="52"/>
    </row>
    <row r="110" spans="1:19" ht="15">
      <c r="A110" s="32"/>
      <c r="B110" s="13" t="s">
        <v>84</v>
      </c>
      <c r="C110" s="44">
        <v>0</v>
      </c>
      <c r="D110" s="51">
        <f>C110+1</f>
        <v>1</v>
      </c>
      <c r="L110" s="52"/>
      <c r="M110" s="130"/>
      <c r="N110" s="130"/>
      <c r="O110" s="52"/>
      <c r="P110" s="29"/>
      <c r="Q110" s="52"/>
      <c r="R110" s="52"/>
      <c r="S110" s="52"/>
    </row>
    <row r="111" spans="1:19" ht="15" hidden="1">
      <c r="A111" s="32"/>
      <c r="B111" s="15" t="s">
        <v>119</v>
      </c>
      <c r="C111" s="8">
        <f>(((C69+C70+C71)*C26)*D110)</f>
        <v>120000</v>
      </c>
      <c r="D111" s="16"/>
      <c r="L111" s="52"/>
      <c r="M111" s="130"/>
      <c r="N111" s="130"/>
      <c r="O111" s="52"/>
      <c r="P111" s="29"/>
      <c r="Q111" s="52"/>
      <c r="R111" s="52"/>
      <c r="S111" s="52"/>
    </row>
    <row r="112" spans="1:19" ht="15" hidden="1">
      <c r="A112" s="32"/>
      <c r="B112" s="15" t="s">
        <v>120</v>
      </c>
      <c r="C112" s="8">
        <f>C111+(C35*D110)</f>
        <v>124800</v>
      </c>
      <c r="L112" s="52"/>
      <c r="M112" s="130"/>
      <c r="N112" s="130"/>
      <c r="O112" s="52"/>
      <c r="P112" s="29"/>
      <c r="Q112" s="52"/>
      <c r="R112" s="52"/>
      <c r="S112" s="52"/>
    </row>
    <row r="113" spans="1:19" ht="15" hidden="1">
      <c r="A113" s="32"/>
      <c r="B113" s="15" t="s">
        <v>121</v>
      </c>
      <c r="C113" s="8">
        <f>((C26*C69)*(C72/100))+((C26*C70)*(C73/100))+((C26*C71)*(C74/100))</f>
        <v>90000</v>
      </c>
      <c r="L113" s="52"/>
      <c r="M113" s="52"/>
      <c r="N113" s="52"/>
      <c r="O113" s="52"/>
      <c r="P113" s="29"/>
      <c r="Q113" s="52"/>
      <c r="R113" s="52"/>
      <c r="S113" s="52"/>
    </row>
    <row r="114" spans="1:19" ht="15" hidden="1">
      <c r="A114" s="32"/>
      <c r="B114" s="15" t="s">
        <v>122</v>
      </c>
      <c r="C114" s="8">
        <f>C113/10</f>
        <v>9000</v>
      </c>
      <c r="L114" s="52"/>
      <c r="M114" s="52"/>
      <c r="N114" s="52"/>
      <c r="O114" s="52"/>
      <c r="P114" s="29"/>
      <c r="Q114" s="52"/>
      <c r="R114" s="52"/>
      <c r="S114" s="52"/>
    </row>
    <row r="115" spans="1:19" ht="15" hidden="1">
      <c r="A115" s="32"/>
      <c r="B115" s="15" t="s">
        <v>123</v>
      </c>
      <c r="C115" s="8">
        <f>C114/1000</f>
        <v>9</v>
      </c>
      <c r="L115" s="52"/>
      <c r="M115" s="52"/>
      <c r="N115" s="52"/>
      <c r="O115" s="52"/>
      <c r="P115" s="29"/>
      <c r="Q115" s="52"/>
      <c r="R115" s="52"/>
      <c r="S115" s="52"/>
    </row>
    <row r="116" spans="1:19" ht="15" hidden="1">
      <c r="A116" s="32"/>
      <c r="B116" s="15" t="s">
        <v>124</v>
      </c>
      <c r="C116" s="8">
        <f>((C78*C80)/100)*C111</f>
        <v>6000</v>
      </c>
      <c r="L116" s="52"/>
      <c r="M116" s="52"/>
      <c r="N116" s="52"/>
      <c r="O116" s="52"/>
      <c r="P116" s="29"/>
      <c r="Q116" s="52"/>
      <c r="R116" s="52"/>
      <c r="S116" s="52"/>
    </row>
    <row r="117" spans="1:19" ht="15" hidden="1">
      <c r="A117" s="32"/>
      <c r="B117" s="15" t="s">
        <v>125</v>
      </c>
      <c r="C117" s="46">
        <f>C112+C116</f>
        <v>130800</v>
      </c>
      <c r="D117" s="17" t="s">
        <v>117</v>
      </c>
      <c r="L117" s="52"/>
      <c r="M117" s="52"/>
      <c r="N117" s="52"/>
      <c r="O117" s="52"/>
      <c r="P117" s="29"/>
      <c r="Q117" s="52"/>
      <c r="R117" s="52"/>
      <c r="S117" s="52"/>
    </row>
    <row r="118" spans="1:19" ht="15" hidden="1">
      <c r="A118" s="32"/>
      <c r="B118" s="15" t="s">
        <v>126</v>
      </c>
      <c r="C118" s="46">
        <f>(C117/0.7)</f>
        <v>186857.14285714287</v>
      </c>
      <c r="L118" s="52"/>
      <c r="M118" s="52"/>
      <c r="N118" s="52"/>
      <c r="O118" s="52"/>
      <c r="P118" s="29"/>
      <c r="Q118" s="52"/>
      <c r="R118" s="52"/>
      <c r="S118" s="52"/>
    </row>
    <row r="119" spans="1:19" ht="15" hidden="1">
      <c r="A119" s="32"/>
      <c r="B119" s="15" t="s">
        <v>86</v>
      </c>
      <c r="C119" s="8">
        <f>C117/1000</f>
        <v>130.8</v>
      </c>
      <c r="L119" s="52"/>
      <c r="M119" s="52"/>
      <c r="N119" s="52"/>
      <c r="O119" s="52"/>
      <c r="P119" s="29"/>
      <c r="Q119" s="52"/>
      <c r="R119" s="52"/>
      <c r="S119" s="52"/>
    </row>
    <row r="120" spans="1:19" ht="15" hidden="1">
      <c r="A120" s="32"/>
      <c r="B120" s="15" t="s">
        <v>127</v>
      </c>
      <c r="C120" s="8">
        <f>(C119/0.7)</f>
        <v>186.8571428571429</v>
      </c>
      <c r="D120" s="17" t="s">
        <v>118</v>
      </c>
      <c r="L120" s="52"/>
      <c r="M120" s="52"/>
      <c r="N120" s="52"/>
      <c r="O120" s="52"/>
      <c r="P120" s="29"/>
      <c r="Q120" s="52"/>
      <c r="R120" s="52"/>
      <c r="S120" s="52"/>
    </row>
    <row r="121" spans="1:19" ht="15" hidden="1">
      <c r="A121" s="32"/>
      <c r="B121" s="15" t="s">
        <v>129</v>
      </c>
      <c r="C121" s="8">
        <f>C120/0.99</f>
        <v>188.74458874458878</v>
      </c>
      <c r="L121" s="52"/>
      <c r="M121" s="52"/>
      <c r="N121" s="52"/>
      <c r="O121" s="52"/>
      <c r="P121" s="29"/>
      <c r="Q121" s="52"/>
      <c r="R121" s="52"/>
      <c r="S121" s="52"/>
    </row>
    <row r="122" spans="1:19" ht="15" hidden="1">
      <c r="A122" s="32"/>
      <c r="B122" s="15" t="s">
        <v>93</v>
      </c>
      <c r="C122" s="8">
        <f>ROUND((C121/1000)/0.5,0)*0.5</f>
        <v>0</v>
      </c>
      <c r="L122" s="52"/>
      <c r="M122" s="52"/>
      <c r="N122" s="52"/>
      <c r="O122" s="52"/>
      <c r="P122" s="29"/>
      <c r="Q122" s="52"/>
      <c r="R122" s="52"/>
      <c r="S122" s="52"/>
    </row>
    <row r="123" spans="1:19" ht="15" hidden="1">
      <c r="A123" s="32"/>
      <c r="B123" s="13" t="s">
        <v>94</v>
      </c>
      <c r="C123" s="8">
        <f>(C69*(C72/100))+(C70*(C73/100))+(C71*(C74/100))</f>
        <v>225</v>
      </c>
      <c r="L123" s="52"/>
      <c r="M123" s="52"/>
      <c r="N123" s="52"/>
      <c r="O123" s="52"/>
      <c r="P123" s="29"/>
      <c r="Q123" s="52"/>
      <c r="R123" s="52"/>
      <c r="S123" s="52"/>
    </row>
    <row r="124" spans="1:19" ht="15" hidden="1">
      <c r="A124" s="32"/>
      <c r="B124" s="13" t="s">
        <v>87</v>
      </c>
      <c r="C124" s="8">
        <f>C123/10</f>
        <v>22.5</v>
      </c>
      <c r="L124" s="52"/>
      <c r="M124" s="52"/>
      <c r="N124" s="52"/>
      <c r="O124" s="52"/>
      <c r="P124" s="29"/>
      <c r="Q124" s="52"/>
      <c r="R124" s="52"/>
      <c r="S124" s="52"/>
    </row>
    <row r="125" spans="1:19" ht="15" hidden="1">
      <c r="A125" s="32"/>
      <c r="B125" s="13" t="s">
        <v>88</v>
      </c>
      <c r="C125" s="8">
        <f>C124/1000</f>
        <v>0.0225</v>
      </c>
      <c r="L125" s="52"/>
      <c r="M125" s="52"/>
      <c r="N125" s="52"/>
      <c r="O125" s="52"/>
      <c r="P125" s="29"/>
      <c r="Q125" s="52"/>
      <c r="R125" s="52"/>
      <c r="S125" s="52"/>
    </row>
    <row r="126" spans="1:19" ht="15" hidden="1">
      <c r="A126" s="32"/>
      <c r="B126" s="30" t="s">
        <v>89</v>
      </c>
      <c r="C126" s="45">
        <f>C125*C26</f>
        <v>9</v>
      </c>
      <c r="L126" s="52"/>
      <c r="M126" s="52"/>
      <c r="N126" s="52"/>
      <c r="O126" s="52"/>
      <c r="P126" s="29"/>
      <c r="Q126" s="52"/>
      <c r="R126" s="52"/>
      <c r="S126" s="52"/>
    </row>
    <row r="127" spans="1:19" ht="15">
      <c r="A127" s="32"/>
      <c r="E127" s="52"/>
      <c r="F127" s="52"/>
      <c r="G127" s="52"/>
      <c r="H127" s="53"/>
      <c r="I127" s="52"/>
      <c r="J127" s="14"/>
      <c r="K127" s="52"/>
      <c r="L127" s="52"/>
      <c r="M127" s="52"/>
      <c r="N127" s="52"/>
      <c r="O127" s="52"/>
      <c r="P127" s="29"/>
      <c r="Q127" s="52"/>
      <c r="R127" s="52"/>
      <c r="S127" s="52"/>
    </row>
    <row r="128" spans="4:19" ht="15">
      <c r="D128" s="6"/>
      <c r="E128" s="122"/>
      <c r="F128" s="123"/>
      <c r="G128" s="124"/>
      <c r="H128" s="55"/>
      <c r="I128" s="52"/>
      <c r="J128" s="14"/>
      <c r="K128" s="52"/>
      <c r="L128" s="52"/>
      <c r="M128" s="52"/>
      <c r="N128" s="52"/>
      <c r="O128" s="52"/>
      <c r="P128" s="52"/>
      <c r="Q128" s="52"/>
      <c r="R128" s="52"/>
      <c r="S128" s="52"/>
    </row>
    <row r="129" spans="5:19" ht="15">
      <c r="E129" s="51"/>
      <c r="F129" s="14"/>
      <c r="G129" s="52"/>
      <c r="H129" s="53"/>
      <c r="I129" s="52"/>
      <c r="J129" s="14"/>
      <c r="K129" s="52"/>
      <c r="L129" s="52"/>
      <c r="M129" s="52"/>
      <c r="N129" s="52"/>
      <c r="O129" s="52"/>
      <c r="P129" s="52"/>
      <c r="Q129" s="52"/>
      <c r="R129" s="52"/>
      <c r="S129" s="52"/>
    </row>
    <row r="130" spans="2:19" ht="15">
      <c r="B130" s="36"/>
      <c r="C130" s="2"/>
      <c r="E130" s="51"/>
      <c r="F130" s="14"/>
      <c r="G130" s="52"/>
      <c r="H130" s="53"/>
      <c r="I130" s="52"/>
      <c r="J130" s="14"/>
      <c r="K130" s="52"/>
      <c r="L130" s="52"/>
      <c r="M130" s="52"/>
      <c r="N130" s="52"/>
      <c r="O130" s="52"/>
      <c r="P130" s="52"/>
      <c r="Q130" s="52"/>
      <c r="R130" s="52"/>
      <c r="S130" s="52"/>
    </row>
    <row r="131" ht="15" customHeight="1"/>
    <row r="132" spans="2:10" ht="15">
      <c r="B132" s="108" t="s">
        <v>90</v>
      </c>
      <c r="C132" s="109"/>
      <c r="D132" s="109"/>
      <c r="E132" s="109"/>
      <c r="F132" s="109"/>
      <c r="G132" s="109"/>
      <c r="H132" s="16"/>
      <c r="J132" s="16"/>
    </row>
    <row r="133" spans="2:10" ht="15">
      <c r="B133" s="109"/>
      <c r="C133" s="109"/>
      <c r="D133" s="109"/>
      <c r="E133" s="109"/>
      <c r="F133" s="109"/>
      <c r="G133" s="109"/>
      <c r="H133" s="16"/>
      <c r="J133" s="16"/>
    </row>
    <row r="134" spans="2:10" ht="15">
      <c r="B134" s="109"/>
      <c r="C134" s="109"/>
      <c r="D134" s="109"/>
      <c r="E134" s="109"/>
      <c r="F134" s="109"/>
      <c r="G134" s="109"/>
      <c r="H134" s="16"/>
      <c r="J134" s="16"/>
    </row>
    <row r="135" spans="2:10" ht="15">
      <c r="B135" s="109"/>
      <c r="C135" s="109"/>
      <c r="D135" s="109"/>
      <c r="E135" s="109"/>
      <c r="F135" s="109"/>
      <c r="G135" s="109"/>
      <c r="H135" s="16"/>
      <c r="J135" s="16"/>
    </row>
    <row r="136" spans="2:10" ht="15">
      <c r="B136" s="109"/>
      <c r="C136" s="109"/>
      <c r="D136" s="109"/>
      <c r="E136" s="109"/>
      <c r="F136" s="109"/>
      <c r="G136" s="109"/>
      <c r="H136" s="16"/>
      <c r="J136" s="16"/>
    </row>
    <row r="1173" spans="42:48" ht="15">
      <c r="AP1173" s="51"/>
      <c r="AQ1173" s="14"/>
      <c r="AR1173" s="123"/>
      <c r="AS1173" s="122"/>
      <c r="AT1173" s="124"/>
      <c r="AU1173" s="14"/>
      <c r="AV1173" s="52"/>
    </row>
    <row r="1174" spans="42:48" ht="15">
      <c r="AP1174" s="51"/>
      <c r="AQ1174" s="14"/>
      <c r="AR1174" s="123"/>
      <c r="AS1174" s="122"/>
      <c r="AT1174" s="124"/>
      <c r="AU1174" s="14"/>
      <c r="AV1174" s="52"/>
    </row>
    <row r="1175" spans="42:48" ht="15">
      <c r="AP1175" s="51"/>
      <c r="AQ1175" s="14"/>
      <c r="AR1175" s="123"/>
      <c r="AS1175" s="122"/>
      <c r="AT1175" s="124"/>
      <c r="AU1175" s="14"/>
      <c r="AV1175" s="52"/>
    </row>
    <row r="1176" spans="42:48" ht="15">
      <c r="AP1176" s="51"/>
      <c r="AQ1176" s="14"/>
      <c r="AR1176" s="123"/>
      <c r="AS1176" s="122"/>
      <c r="AT1176" s="124"/>
      <c r="AU1176" s="54"/>
      <c r="AV1176" s="52"/>
    </row>
    <row r="1177" spans="42:48" ht="15">
      <c r="AP1177" s="51"/>
      <c r="AQ1177" s="14"/>
      <c r="AR1177" s="123"/>
      <c r="AS1177" s="122"/>
      <c r="AT1177" s="124"/>
      <c r="AU1177" s="54"/>
      <c r="AV1177" s="52"/>
    </row>
    <row r="1178" spans="42:48" ht="15">
      <c r="AP1178" s="51"/>
      <c r="AQ1178" s="14"/>
      <c r="AR1178" s="124"/>
      <c r="AS1178" s="124"/>
      <c r="AT1178" s="124"/>
      <c r="AU1178" s="54"/>
      <c r="AV1178" s="52"/>
    </row>
    <row r="1179" spans="42:48" ht="15">
      <c r="AP1179" s="51"/>
      <c r="AQ1179" s="14"/>
      <c r="AR1179" s="124"/>
      <c r="AS1179" s="55"/>
      <c r="AT1179" s="124"/>
      <c r="AU1179" s="14"/>
      <c r="AV1179" s="52"/>
    </row>
    <row r="1180" spans="42:48" ht="15">
      <c r="AP1180" s="51"/>
      <c r="AQ1180" s="14"/>
      <c r="AR1180" s="29"/>
      <c r="AS1180" s="53"/>
      <c r="AT1180" s="52"/>
      <c r="AU1180" s="14"/>
      <c r="AV1180" s="52"/>
    </row>
    <row r="1181" spans="42:48" ht="15">
      <c r="AP1181" s="51"/>
      <c r="AQ1181" s="14"/>
      <c r="AR1181" s="29"/>
      <c r="AS1181" s="53"/>
      <c r="AT1181" s="52"/>
      <c r="AU1181" s="14"/>
      <c r="AV1181" s="52"/>
    </row>
    <row r="1182" spans="42:48" ht="15">
      <c r="AP1182" s="51"/>
      <c r="AQ1182" s="14"/>
      <c r="AR1182" s="52"/>
      <c r="AS1182" s="53"/>
      <c r="AT1182" s="52"/>
      <c r="AU1182" s="14"/>
      <c r="AV1182" s="52"/>
    </row>
    <row r="1183" spans="42:48" ht="15">
      <c r="AP1183" s="51"/>
      <c r="AQ1183" s="14"/>
      <c r="AR1183" s="52"/>
      <c r="AS1183" s="53"/>
      <c r="AT1183" s="52"/>
      <c r="AU1183" s="14"/>
      <c r="AV1183" s="52"/>
    </row>
    <row r="1184" spans="42:48" ht="15">
      <c r="AP1184" s="51"/>
      <c r="AQ1184" s="14"/>
      <c r="AR1184" s="52"/>
      <c r="AS1184" s="53"/>
      <c r="AT1184" s="52"/>
      <c r="AU1184" s="14"/>
      <c r="AV1184" s="52"/>
    </row>
    <row r="1185" spans="42:48" ht="15">
      <c r="AP1185" s="51"/>
      <c r="AQ1185" s="14"/>
      <c r="AR1185" s="52"/>
      <c r="AS1185" s="53"/>
      <c r="AT1185" s="52"/>
      <c r="AU1185" s="14"/>
      <c r="AV1185" s="52"/>
    </row>
    <row r="1186" spans="42:48" ht="15">
      <c r="AP1186" s="51"/>
      <c r="AQ1186" s="14"/>
      <c r="AR1186" s="52"/>
      <c r="AS1186" s="53"/>
      <c r="AT1186" s="52"/>
      <c r="AU1186" s="14"/>
      <c r="AV1186" s="52"/>
    </row>
    <row r="1187" spans="42:48" ht="15">
      <c r="AP1187" s="51"/>
      <c r="AQ1187" s="14"/>
      <c r="AR1187" s="52"/>
      <c r="AS1187" s="53"/>
      <c r="AT1187" s="52"/>
      <c r="AU1187" s="14"/>
      <c r="AV1187" s="52"/>
    </row>
    <row r="1188" spans="42:48" ht="15">
      <c r="AP1188" s="51"/>
      <c r="AQ1188" s="14"/>
      <c r="AR1188" s="29"/>
      <c r="AS1188" s="53"/>
      <c r="AT1188" s="52"/>
      <c r="AU1188" s="14"/>
      <c r="AV1188" s="52"/>
    </row>
    <row r="1189" spans="42:48" ht="15">
      <c r="AP1189" s="51"/>
      <c r="AQ1189" s="14"/>
      <c r="AR1189" s="29"/>
      <c r="AS1189" s="53"/>
      <c r="AT1189" s="52"/>
      <c r="AU1189" s="14"/>
      <c r="AV1189" s="52"/>
    </row>
    <row r="1190" spans="42:48" ht="15">
      <c r="AP1190" s="51"/>
      <c r="AQ1190" s="14"/>
      <c r="AR1190" s="29"/>
      <c r="AS1190" s="53"/>
      <c r="AT1190" s="52"/>
      <c r="AU1190" s="14"/>
      <c r="AV1190" s="52"/>
    </row>
    <row r="1191" spans="42:48" ht="15">
      <c r="AP1191" s="51"/>
      <c r="AQ1191" s="14"/>
      <c r="AR1191" s="29"/>
      <c r="AS1191" s="53"/>
      <c r="AT1191" s="52"/>
      <c r="AU1191" s="14"/>
      <c r="AV1191" s="52"/>
    </row>
    <row r="1192" spans="42:48" ht="15">
      <c r="AP1192" s="51"/>
      <c r="AQ1192" s="14"/>
      <c r="AR1192" s="29"/>
      <c r="AS1192" s="53"/>
      <c r="AT1192" s="52"/>
      <c r="AU1192" s="14"/>
      <c r="AV1192" s="52"/>
    </row>
    <row r="1193" spans="42:48" ht="15">
      <c r="AP1193" s="51"/>
      <c r="AQ1193" s="14"/>
      <c r="AR1193" s="29"/>
      <c r="AS1193" s="53"/>
      <c r="AT1193" s="52"/>
      <c r="AU1193" s="14"/>
      <c r="AV1193" s="52"/>
    </row>
    <row r="1194" spans="42:48" ht="15">
      <c r="AP1194" s="51"/>
      <c r="AQ1194" s="14"/>
      <c r="AR1194" s="29"/>
      <c r="AS1194" s="53"/>
      <c r="AT1194" s="52"/>
      <c r="AU1194" s="14"/>
      <c r="AV1194" s="52"/>
    </row>
    <row r="1195" spans="42:48" ht="15">
      <c r="AP1195" s="51"/>
      <c r="AQ1195" s="14"/>
      <c r="AR1195" s="29"/>
      <c r="AS1195" s="53"/>
      <c r="AT1195" s="52"/>
      <c r="AU1195" s="14"/>
      <c r="AV1195" s="52"/>
    </row>
    <row r="1196" spans="42:48" ht="15">
      <c r="AP1196" s="51"/>
      <c r="AQ1196" s="14"/>
      <c r="AR1196" s="29"/>
      <c r="AS1196" s="53"/>
      <c r="AT1196" s="52"/>
      <c r="AU1196" s="14"/>
      <c r="AV1196" s="52"/>
    </row>
    <row r="1197" spans="42:48" ht="15">
      <c r="AP1197" s="52"/>
      <c r="AQ1197" s="52"/>
      <c r="AR1197" s="29"/>
      <c r="AS1197" s="53"/>
      <c r="AT1197" s="52"/>
      <c r="AU1197" s="14"/>
      <c r="AV1197" s="52"/>
    </row>
    <row r="1198" spans="42:48" ht="15">
      <c r="AP1198" s="52"/>
      <c r="AQ1198" s="52"/>
      <c r="AR1198" s="29"/>
      <c r="AS1198" s="53"/>
      <c r="AT1198" s="52"/>
      <c r="AU1198" s="14"/>
      <c r="AV1198" s="52"/>
    </row>
    <row r="1199" spans="42:48" ht="15">
      <c r="AP1199" s="52"/>
      <c r="AQ1199" s="52"/>
      <c r="AR1199" s="29"/>
      <c r="AS1199" s="53"/>
      <c r="AT1199" s="52"/>
      <c r="AU1199" s="14"/>
      <c r="AV1199" s="52"/>
    </row>
    <row r="1200" spans="42:48" ht="15">
      <c r="AP1200" s="52"/>
      <c r="AQ1200" s="52"/>
      <c r="AR1200" s="29"/>
      <c r="AS1200" s="53"/>
      <c r="AT1200" s="52"/>
      <c r="AU1200" s="14"/>
      <c r="AV1200" s="52"/>
    </row>
    <row r="1201" spans="42:48" ht="15">
      <c r="AP1201" s="52"/>
      <c r="AQ1201" s="52"/>
      <c r="AR1201" s="29"/>
      <c r="AS1201" s="53"/>
      <c r="AT1201" s="52"/>
      <c r="AU1201" s="14"/>
      <c r="AV1201" s="52"/>
    </row>
    <row r="1202" spans="42:48" ht="15">
      <c r="AP1202" s="52"/>
      <c r="AQ1202" s="52"/>
      <c r="AR1202" s="29"/>
      <c r="AS1202" s="53"/>
      <c r="AT1202" s="52"/>
      <c r="AU1202" s="14"/>
      <c r="AV1202" s="52"/>
    </row>
    <row r="1203" spans="42:48" ht="15">
      <c r="AP1203" s="52"/>
      <c r="AQ1203" s="52"/>
      <c r="AR1203" s="29"/>
      <c r="AS1203" s="53"/>
      <c r="AT1203" s="52"/>
      <c r="AU1203" s="14"/>
      <c r="AV1203" s="52"/>
    </row>
    <row r="1204" spans="42:48" ht="15">
      <c r="AP1204" s="52"/>
      <c r="AQ1204" s="52"/>
      <c r="AR1204" s="29"/>
      <c r="AS1204" s="53"/>
      <c r="AT1204" s="52"/>
      <c r="AU1204" s="14"/>
      <c r="AV1204" s="52"/>
    </row>
    <row r="1205" spans="42:48" ht="15">
      <c r="AP1205" s="52"/>
      <c r="AQ1205" s="52"/>
      <c r="AR1205" s="29"/>
      <c r="AS1205" s="53"/>
      <c r="AT1205" s="52"/>
      <c r="AU1205" s="14"/>
      <c r="AV1205" s="52"/>
    </row>
    <row r="1206" spans="42:48" ht="15">
      <c r="AP1206" s="51"/>
      <c r="AQ1206" s="14"/>
      <c r="AR1206" s="29"/>
      <c r="AS1206" s="53"/>
      <c r="AT1206" s="52"/>
      <c r="AU1206" s="14"/>
      <c r="AV1206" s="52"/>
    </row>
    <row r="1207" spans="42:48" ht="15">
      <c r="AP1207" s="51"/>
      <c r="AQ1207" s="14"/>
      <c r="AR1207" s="29"/>
      <c r="AS1207" s="53"/>
      <c r="AT1207" s="52"/>
      <c r="AU1207" s="14"/>
      <c r="AV1207" s="52"/>
    </row>
    <row r="1208" spans="42:48" ht="15">
      <c r="AP1208" s="51"/>
      <c r="AQ1208" s="14"/>
      <c r="AR1208" s="29"/>
      <c r="AS1208" s="53"/>
      <c r="AT1208" s="52"/>
      <c r="AU1208" s="14"/>
      <c r="AV1208" s="52"/>
    </row>
    <row r="1209" spans="42:48" ht="15">
      <c r="AP1209" s="51"/>
      <c r="AQ1209" s="14"/>
      <c r="AR1209" s="29"/>
      <c r="AS1209" s="53"/>
      <c r="AT1209" s="52"/>
      <c r="AU1209" s="14"/>
      <c r="AV1209" s="52"/>
    </row>
    <row r="1210" spans="42:48" ht="15">
      <c r="AP1210" s="51"/>
      <c r="AQ1210" s="14"/>
      <c r="AR1210" s="29"/>
      <c r="AS1210" s="53"/>
      <c r="AT1210" s="52"/>
      <c r="AU1210" s="14"/>
      <c r="AV1210" s="52"/>
    </row>
    <row r="1211" spans="42:48" ht="15">
      <c r="AP1211" s="51"/>
      <c r="AQ1211" s="14"/>
      <c r="AR1211" s="29"/>
      <c r="AS1211" s="53"/>
      <c r="AT1211" s="52"/>
      <c r="AU1211" s="14"/>
      <c r="AV1211" s="52"/>
    </row>
    <row r="1212" spans="42:48" ht="15">
      <c r="AP1212" s="51"/>
      <c r="AQ1212" s="14"/>
      <c r="AR1212" s="29"/>
      <c r="AS1212" s="53"/>
      <c r="AT1212" s="52"/>
      <c r="AU1212" s="14"/>
      <c r="AV1212" s="52"/>
    </row>
    <row r="1213" spans="42:48" ht="15">
      <c r="AP1213" s="51"/>
      <c r="AQ1213" s="14"/>
      <c r="AR1213" s="29"/>
      <c r="AS1213" s="53"/>
      <c r="AT1213" s="52"/>
      <c r="AU1213" s="14"/>
      <c r="AV1213" s="52"/>
    </row>
    <row r="1214" spans="42:48" ht="15">
      <c r="AP1214" s="51"/>
      <c r="AQ1214" s="14"/>
      <c r="AR1214" s="29"/>
      <c r="AS1214" s="53"/>
      <c r="AT1214" s="52"/>
      <c r="AU1214" s="14"/>
      <c r="AV1214" s="52"/>
    </row>
    <row r="1215" spans="42:48" ht="15">
      <c r="AP1215" s="125"/>
      <c r="AQ1215" s="126"/>
      <c r="AR1215" s="127"/>
      <c r="AS1215" s="128"/>
      <c r="AT1215" s="127"/>
      <c r="AU1215" s="126"/>
      <c r="AV1215" s="127"/>
    </row>
    <row r="1216" spans="42:48" ht="15">
      <c r="AP1216" s="51"/>
      <c r="AQ1216" s="14"/>
      <c r="AR1216" s="29"/>
      <c r="AS1216" s="53"/>
      <c r="AT1216" s="52"/>
      <c r="AU1216" s="14"/>
      <c r="AV1216" s="52"/>
    </row>
    <row r="1217" spans="42:48" ht="15">
      <c r="AP1217" s="51"/>
      <c r="AQ1217" s="14"/>
      <c r="AR1217" s="29"/>
      <c r="AS1217" s="53"/>
      <c r="AT1217" s="52"/>
      <c r="AU1217" s="14"/>
      <c r="AV1217" s="52"/>
    </row>
    <row r="1218" spans="42:48" ht="15">
      <c r="AP1218" s="51"/>
      <c r="AQ1218" s="14"/>
      <c r="AR1218" s="29"/>
      <c r="AS1218" s="53"/>
      <c r="AT1218" s="52"/>
      <c r="AU1218" s="14"/>
      <c r="AV1218" s="52"/>
    </row>
    <row r="1219" spans="42:48" ht="15">
      <c r="AP1219" s="51"/>
      <c r="AQ1219" s="14"/>
      <c r="AR1219" s="29"/>
      <c r="AS1219" s="53"/>
      <c r="AT1219" s="52"/>
      <c r="AU1219" s="14"/>
      <c r="AV1219" s="52"/>
    </row>
    <row r="1220" spans="42:48" ht="15">
      <c r="AP1220" s="51"/>
      <c r="AQ1220" s="14"/>
      <c r="AR1220" s="29"/>
      <c r="AS1220" s="53"/>
      <c r="AT1220" s="52"/>
      <c r="AU1220" s="14"/>
      <c r="AV1220" s="52"/>
    </row>
    <row r="1221" spans="42:48" ht="15">
      <c r="AP1221" s="51"/>
      <c r="AQ1221" s="14"/>
      <c r="AR1221" s="29"/>
      <c r="AS1221" s="53"/>
      <c r="AT1221" s="52"/>
      <c r="AU1221" s="14"/>
      <c r="AV1221" s="52"/>
    </row>
    <row r="1222" spans="42:48" ht="15">
      <c r="AP1222" s="51"/>
      <c r="AQ1222" s="14"/>
      <c r="AR1222" s="52"/>
      <c r="AS1222" s="53"/>
      <c r="AT1222" s="52"/>
      <c r="AU1222" s="14"/>
      <c r="AV1222" s="52"/>
    </row>
    <row r="1223" spans="42:48" ht="15">
      <c r="AP1223" s="51"/>
      <c r="AQ1223" s="14"/>
      <c r="AR1223" s="52"/>
      <c r="AS1223" s="53"/>
      <c r="AT1223" s="52"/>
      <c r="AU1223" s="14"/>
      <c r="AV1223" s="52"/>
    </row>
    <row r="1224" spans="42:48" ht="15">
      <c r="AP1224" s="51"/>
      <c r="AQ1224" s="14"/>
      <c r="AR1224" s="52"/>
      <c r="AS1224" s="53"/>
      <c r="AT1224" s="52"/>
      <c r="AU1224" s="14"/>
      <c r="AV1224" s="52"/>
    </row>
    <row r="1225" spans="42:48" ht="15">
      <c r="AP1225" s="51"/>
      <c r="AQ1225" s="14"/>
      <c r="AR1225" s="52"/>
      <c r="AS1225" s="53"/>
      <c r="AT1225" s="52"/>
      <c r="AU1225" s="14"/>
      <c r="AV1225" s="52"/>
    </row>
    <row r="1226" spans="42:48" ht="15">
      <c r="AP1226" s="51" t="s">
        <v>131</v>
      </c>
      <c r="AQ1226" s="14"/>
      <c r="AR1226" s="52"/>
      <c r="AS1226" s="53"/>
      <c r="AT1226" s="52"/>
      <c r="AU1226" s="14"/>
      <c r="AV1226" s="52"/>
    </row>
    <row r="1227" spans="42:48" ht="15">
      <c r="AP1227" s="51"/>
      <c r="AQ1227" s="14"/>
      <c r="AR1227" s="52"/>
      <c r="AS1227" s="53"/>
      <c r="AT1227" s="52"/>
      <c r="AU1227" s="14"/>
      <c r="AV1227" s="52"/>
    </row>
    <row r="1228" spans="42:48" ht="15">
      <c r="AP1228" s="51"/>
      <c r="AQ1228" s="14"/>
      <c r="AR1228" s="52"/>
      <c r="AS1228" s="53"/>
      <c r="AT1228" s="52"/>
      <c r="AU1228" s="14"/>
      <c r="AV1228" s="52"/>
    </row>
    <row r="1229" spans="42:48" ht="15">
      <c r="AP1229" s="51"/>
      <c r="AQ1229" s="14"/>
      <c r="AR1229" s="52"/>
      <c r="AS1229" s="53"/>
      <c r="AT1229" s="52"/>
      <c r="AU1229" s="14"/>
      <c r="AV1229" s="52"/>
    </row>
    <row r="1230" spans="42:48" ht="15">
      <c r="AP1230" s="51"/>
      <c r="AQ1230" s="14"/>
      <c r="AR1230" s="52"/>
      <c r="AS1230" s="53"/>
      <c r="AT1230" s="52"/>
      <c r="AU1230" s="14"/>
      <c r="AV1230" s="52"/>
    </row>
    <row r="1231" spans="42:48" ht="15">
      <c r="AP1231" s="51"/>
      <c r="AQ1231" s="52"/>
      <c r="AR1231" s="52"/>
      <c r="AS1231" s="53"/>
      <c r="AT1231" s="52"/>
      <c r="AU1231" s="14"/>
      <c r="AV1231" s="52"/>
    </row>
    <row r="1232" spans="42:48" ht="15">
      <c r="AP1232" s="54"/>
      <c r="AQ1232" s="52"/>
      <c r="AR1232" s="52"/>
      <c r="AS1232" s="52"/>
      <c r="AT1232" s="52"/>
      <c r="AU1232" s="14"/>
      <c r="AV1232" s="52"/>
    </row>
    <row r="1233" spans="42:48" ht="15">
      <c r="AP1233" s="52"/>
      <c r="AQ1233" s="52"/>
      <c r="AR1233" s="56">
        <f>(C85*1)</f>
        <v>1</v>
      </c>
      <c r="AS1233" s="14"/>
      <c r="AT1233" s="52"/>
      <c r="AU1233" s="14"/>
      <c r="AV1233" s="52"/>
    </row>
    <row r="1234" spans="42:48" ht="15">
      <c r="AP1234" s="52"/>
      <c r="AQ1234" s="52"/>
      <c r="AR1234" s="56">
        <f>(C86*0.33)</f>
        <v>0</v>
      </c>
      <c r="AS1234" s="52"/>
      <c r="AT1234" s="52">
        <v>1</v>
      </c>
      <c r="AU1234" s="14"/>
      <c r="AV1234" s="52"/>
    </row>
    <row r="1235" spans="42:48" ht="15">
      <c r="AP1235" s="52"/>
      <c r="AQ1235" s="52"/>
      <c r="AR1235" s="56">
        <f>(C87*0.5)</f>
        <v>0</v>
      </c>
      <c r="AS1235" s="56">
        <f>AR1233+AR1234+AR1235</f>
        <v>1</v>
      </c>
      <c r="AT1235" s="52">
        <v>0.5</v>
      </c>
      <c r="AU1235" s="14"/>
      <c r="AV1235" s="52"/>
    </row>
    <row r="1236" spans="42:48" ht="15">
      <c r="AP1236" s="52"/>
      <c r="AQ1236" s="52"/>
      <c r="AR1236" s="56">
        <f>(C88*1)</f>
        <v>0</v>
      </c>
      <c r="AS1236" s="56">
        <f>AR1236+AR1237+AR1238</f>
        <v>0.5</v>
      </c>
      <c r="AT1236" s="52">
        <v>0.33</v>
      </c>
      <c r="AU1236" s="14"/>
      <c r="AV1236" s="52"/>
    </row>
    <row r="1237" spans="42:48" ht="15">
      <c r="AP1237" s="52"/>
      <c r="AQ1237" s="52"/>
      <c r="AR1237" s="56">
        <f>(C89*0.33)</f>
        <v>0</v>
      </c>
      <c r="AS1237" s="56">
        <f>AR1239+AR1240+AR1241</f>
        <v>0</v>
      </c>
      <c r="AT1237" s="52"/>
      <c r="AU1237" s="14"/>
      <c r="AV1237" s="52"/>
    </row>
    <row r="1238" spans="42:48" ht="15">
      <c r="AP1238" s="52"/>
      <c r="AQ1238" s="52"/>
      <c r="AR1238" s="56">
        <f>(C90*0.5)</f>
        <v>0.5</v>
      </c>
      <c r="AS1238" s="52"/>
      <c r="AT1238" s="53"/>
      <c r="AU1238" s="14"/>
      <c r="AV1238" s="52"/>
    </row>
    <row r="1239" spans="42:48" ht="15">
      <c r="AP1239" s="52"/>
      <c r="AQ1239" s="52"/>
      <c r="AR1239" s="56">
        <f>(C91*1)</f>
        <v>0</v>
      </c>
      <c r="AS1239" s="51"/>
      <c r="AT1239" s="53"/>
      <c r="AU1239" s="14"/>
      <c r="AV1239" s="52"/>
    </row>
    <row r="1240" spans="42:48" ht="15">
      <c r="AP1240" s="52"/>
      <c r="AQ1240" s="52"/>
      <c r="AR1240" s="56">
        <f>(C92*0.3333)</f>
        <v>0</v>
      </c>
      <c r="AS1240" s="52"/>
      <c r="AT1240" s="53"/>
      <c r="AU1240" s="14"/>
      <c r="AV1240" s="52"/>
    </row>
    <row r="1241" spans="42:48" ht="15">
      <c r="AP1241" s="52"/>
      <c r="AQ1241" s="52"/>
      <c r="AR1241" s="56">
        <f>(C93*0.5)</f>
        <v>0</v>
      </c>
      <c r="AS1241" s="52"/>
      <c r="AT1241" s="53"/>
      <c r="AU1241" s="14"/>
      <c r="AV1241" s="52"/>
    </row>
    <row r="1242" spans="42:48" ht="15">
      <c r="AP1242" s="52"/>
      <c r="AQ1242" s="52"/>
      <c r="AR1242" s="52"/>
      <c r="AS1242" s="51"/>
      <c r="AT1242" s="55"/>
      <c r="AU1242" s="14"/>
      <c r="AV1242" s="52"/>
    </row>
    <row r="1243" spans="42:48" ht="15">
      <c r="AP1243" s="52"/>
      <c r="AQ1243" s="52"/>
      <c r="AR1243" s="52"/>
      <c r="AS1243" s="51"/>
      <c r="AT1243" s="55"/>
      <c r="AU1243" s="14"/>
      <c r="AV1243" s="52"/>
    </row>
    <row r="1244" spans="42:48" ht="15">
      <c r="AP1244" s="51"/>
      <c r="AQ1244" s="55"/>
      <c r="AR1244" s="14"/>
      <c r="AS1244" s="52"/>
      <c r="AT1244" s="53"/>
      <c r="AU1244" s="14"/>
      <c r="AV1244" s="52"/>
    </row>
    <row r="1245" spans="42:48" ht="15">
      <c r="AP1245" s="51" t="s">
        <v>104</v>
      </c>
      <c r="AQ1245" s="52"/>
      <c r="AR1245" s="52"/>
      <c r="AS1245" s="52"/>
      <c r="AT1245" s="52"/>
      <c r="AU1245" s="14"/>
      <c r="AV1245" s="52"/>
    </row>
    <row r="1246" spans="42:48" ht="15">
      <c r="AP1246" s="51" t="s">
        <v>103</v>
      </c>
      <c r="AQ1246" s="52"/>
      <c r="AR1246" s="52"/>
      <c r="AS1246" s="52"/>
      <c r="AT1246" s="52"/>
      <c r="AU1246" s="14"/>
      <c r="AV1246" s="52"/>
    </row>
    <row r="1247" spans="42:48" ht="15">
      <c r="AP1247" s="51"/>
      <c r="AQ1247" s="52"/>
      <c r="AR1247" s="52"/>
      <c r="AS1247" s="52"/>
      <c r="AT1247" s="52"/>
      <c r="AU1247" s="14"/>
      <c r="AV1247" s="52"/>
    </row>
    <row r="1248" spans="42:48" ht="15">
      <c r="AP1248" s="51"/>
      <c r="AQ1248" s="52"/>
      <c r="AR1248" s="52"/>
      <c r="AS1248" s="52"/>
      <c r="AT1248" s="52"/>
      <c r="AU1248" s="14"/>
      <c r="AV1248" s="52"/>
    </row>
    <row r="1249" spans="42:48" ht="15">
      <c r="AP1249" s="51" t="s">
        <v>102</v>
      </c>
      <c r="AQ1249" s="52"/>
      <c r="AR1249" s="52"/>
      <c r="AS1249" s="52"/>
      <c r="AT1249" s="52"/>
      <c r="AU1249" s="14"/>
      <c r="AV1249" s="52"/>
    </row>
    <row r="1250" spans="42:48" ht="15">
      <c r="AP1250" s="51" t="s">
        <v>105</v>
      </c>
      <c r="AQ1250" s="14"/>
      <c r="AR1250" s="52"/>
      <c r="AS1250" s="53"/>
      <c r="AT1250" s="52"/>
      <c r="AU1250" s="14"/>
      <c r="AV1250" s="52"/>
    </row>
    <row r="1251" spans="42:48" ht="15">
      <c r="AP1251" s="51"/>
      <c r="AQ1251" s="14"/>
      <c r="AR1251" s="52"/>
      <c r="AS1251" s="53"/>
      <c r="AT1251" s="52"/>
      <c r="AU1251" s="14"/>
      <c r="AV1251" s="52"/>
    </row>
    <row r="1252" spans="42:48" ht="15">
      <c r="AP1252" s="51" t="s">
        <v>112</v>
      </c>
      <c r="AQ1252" s="14"/>
      <c r="AR1252" s="52"/>
      <c r="AS1252" s="53"/>
      <c r="AT1252" s="52"/>
      <c r="AU1252" s="14"/>
      <c r="AV1252" s="52"/>
    </row>
    <row r="1253" spans="42:48" ht="15">
      <c r="AP1253" s="51" t="s">
        <v>85</v>
      </c>
      <c r="AQ1253" s="14"/>
      <c r="AR1253" s="52"/>
      <c r="AS1253" s="53"/>
      <c r="AT1253" s="52"/>
      <c r="AU1253" s="14"/>
      <c r="AV1253" s="52"/>
    </row>
    <row r="1254" spans="42:48" ht="15">
      <c r="AP1254" s="51" t="s">
        <v>113</v>
      </c>
      <c r="AQ1254" s="14"/>
      <c r="AR1254" s="52"/>
      <c r="AS1254" s="53"/>
      <c r="AT1254" s="52"/>
      <c r="AU1254" s="14"/>
      <c r="AV1254" s="52"/>
    </row>
    <row r="1255" spans="42:48" ht="15">
      <c r="AP1255" s="51" t="s">
        <v>114</v>
      </c>
      <c r="AQ1255" s="14"/>
      <c r="AR1255" s="29"/>
      <c r="AS1255" s="53"/>
      <c r="AT1255" s="52"/>
      <c r="AU1255" s="14"/>
      <c r="AV1255" s="52"/>
    </row>
    <row r="1256" spans="42:48" ht="15">
      <c r="AP1256" s="96"/>
      <c r="AQ1256" s="97"/>
      <c r="AR1256" s="52"/>
      <c r="AS1256" s="53"/>
      <c r="AT1256" s="52"/>
      <c r="AU1256" s="14"/>
      <c r="AV1256" s="52"/>
    </row>
    <row r="1257" spans="42:48" ht="15">
      <c r="AP1257" s="52"/>
      <c r="AQ1257" s="52"/>
      <c r="AR1257" s="52"/>
      <c r="AS1257" s="53"/>
      <c r="AT1257" s="52"/>
      <c r="AU1257" s="14"/>
      <c r="AV1257" s="52"/>
    </row>
    <row r="1258" spans="42:48" ht="15">
      <c r="AP1258" s="52"/>
      <c r="AQ1258" s="52"/>
      <c r="AR1258" s="52"/>
      <c r="AS1258" s="53"/>
      <c r="AT1258" s="52"/>
      <c r="AU1258" s="14"/>
      <c r="AV1258" s="52"/>
    </row>
    <row r="1259" spans="42:48" ht="15">
      <c r="AP1259" s="52"/>
      <c r="AQ1259" s="52"/>
      <c r="AR1259" s="52"/>
      <c r="AS1259" s="53"/>
      <c r="AT1259" s="52"/>
      <c r="AU1259" s="14"/>
      <c r="AV1259" s="52"/>
    </row>
    <row r="1260" spans="42:48" ht="15">
      <c r="AP1260" s="52"/>
      <c r="AQ1260" s="52"/>
      <c r="AR1260" s="52"/>
      <c r="AS1260" s="53"/>
      <c r="AT1260" s="52"/>
      <c r="AU1260" s="14"/>
      <c r="AV1260" s="52"/>
    </row>
    <row r="1261" spans="42:48" ht="15">
      <c r="AP1261" s="52"/>
      <c r="AQ1261" s="52"/>
      <c r="AR1261" s="52"/>
      <c r="AS1261" s="53"/>
      <c r="AT1261" s="52"/>
      <c r="AU1261" s="14"/>
      <c r="AV1261" s="52"/>
    </row>
    <row r="1262" spans="42:48" ht="15">
      <c r="AP1262" s="52"/>
      <c r="AQ1262" s="52"/>
      <c r="AR1262" s="52"/>
      <c r="AS1262" s="53"/>
      <c r="AT1262" s="52"/>
      <c r="AU1262" s="14"/>
      <c r="AV1262" s="52"/>
    </row>
    <row r="1263" spans="42:48" ht="15">
      <c r="AP1263" s="52"/>
      <c r="AQ1263" s="52"/>
      <c r="AR1263" s="52"/>
      <c r="AS1263" s="53"/>
      <c r="AT1263" s="52"/>
      <c r="AU1263" s="14"/>
      <c r="AV1263" s="52"/>
    </row>
    <row r="1264" spans="42:48" ht="15">
      <c r="AP1264" s="52"/>
      <c r="AQ1264" s="52"/>
      <c r="AR1264" s="52"/>
      <c r="AS1264" s="53"/>
      <c r="AT1264" s="52"/>
      <c r="AU1264" s="14"/>
      <c r="AV1264" s="52"/>
    </row>
    <row r="1265" spans="42:48" ht="15">
      <c r="AP1265" s="52"/>
      <c r="AQ1265" s="52"/>
      <c r="AR1265" s="52"/>
      <c r="AS1265" s="53"/>
      <c r="AT1265" s="52"/>
      <c r="AU1265" s="14"/>
      <c r="AV1265" s="52"/>
    </row>
    <row r="1266" spans="42:48" ht="15">
      <c r="AP1266" s="52"/>
      <c r="AQ1266" s="52"/>
      <c r="AR1266" s="52"/>
      <c r="AS1266" s="53"/>
      <c r="AT1266" s="52"/>
      <c r="AU1266" s="14"/>
      <c r="AV1266" s="52"/>
    </row>
    <row r="1267" spans="42:48" ht="15">
      <c r="AP1267" s="52"/>
      <c r="AQ1267" s="52"/>
      <c r="AR1267" s="52"/>
      <c r="AS1267" s="53"/>
      <c r="AT1267" s="52"/>
      <c r="AU1267" s="14"/>
      <c r="AV1267" s="52"/>
    </row>
    <row r="1268" spans="42:48" ht="15">
      <c r="AP1268" s="52"/>
      <c r="AQ1268" s="52"/>
      <c r="AR1268" s="52"/>
      <c r="AS1268" s="53"/>
      <c r="AT1268" s="52"/>
      <c r="AU1268" s="14"/>
      <c r="AV1268" s="52"/>
    </row>
    <row r="1269" spans="42:48" ht="15">
      <c r="AP1269" s="52"/>
      <c r="AQ1269" s="52"/>
      <c r="AR1269" s="52"/>
      <c r="AS1269" s="53"/>
      <c r="AT1269" s="52"/>
      <c r="AU1269" s="14"/>
      <c r="AV1269" s="52"/>
    </row>
    <row r="1270" spans="42:48" ht="15">
      <c r="AP1270" s="52"/>
      <c r="AQ1270" s="52"/>
      <c r="AR1270" s="52"/>
      <c r="AS1270" s="53"/>
      <c r="AT1270" s="52"/>
      <c r="AU1270" s="14"/>
      <c r="AV1270" s="52"/>
    </row>
    <row r="1271" spans="42:48" ht="15">
      <c r="AP1271" s="52"/>
      <c r="AQ1271" s="52"/>
      <c r="AR1271" s="52"/>
      <c r="AS1271" s="53"/>
      <c r="AT1271" s="52"/>
      <c r="AU1271" s="14"/>
      <c r="AV1271" s="52"/>
    </row>
    <row r="1272" spans="42:48" ht="15">
      <c r="AP1272" s="52"/>
      <c r="AQ1272" s="52"/>
      <c r="AR1272" s="52"/>
      <c r="AS1272" s="53"/>
      <c r="AT1272" s="52"/>
      <c r="AU1272" s="14"/>
      <c r="AV1272" s="52"/>
    </row>
    <row r="1273" spans="42:48" ht="15">
      <c r="AP1273" s="52"/>
      <c r="AQ1273" s="52"/>
      <c r="AR1273" s="52"/>
      <c r="AS1273" s="53"/>
      <c r="AT1273" s="52"/>
      <c r="AU1273" s="14"/>
      <c r="AV1273" s="52"/>
    </row>
    <row r="1274" spans="42:48" ht="15">
      <c r="AP1274" s="52"/>
      <c r="AQ1274" s="52"/>
      <c r="AR1274" s="52"/>
      <c r="AS1274" s="53"/>
      <c r="AT1274" s="52"/>
      <c r="AU1274" s="14"/>
      <c r="AV1274" s="52"/>
    </row>
  </sheetData>
  <mergeCells count="14">
    <mergeCell ref="B132:G136"/>
    <mergeCell ref="B25:C25"/>
    <mergeCell ref="B109:C109"/>
    <mergeCell ref="B84:C84"/>
    <mergeCell ref="A24:A41"/>
    <mergeCell ref="A108:A109"/>
    <mergeCell ref="B68:C68"/>
    <mergeCell ref="E2:G3"/>
    <mergeCell ref="E4:G4"/>
    <mergeCell ref="B49:C49"/>
    <mergeCell ref="B59:C59"/>
    <mergeCell ref="B43:C43"/>
    <mergeCell ref="B2:D3"/>
    <mergeCell ref="B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H139"/>
  <sheetViews>
    <sheetView workbookViewId="0" topLeftCell="A118">
      <selection activeCell="E126" sqref="E126"/>
    </sheetView>
  </sheetViews>
  <sheetFormatPr defaultColWidth="9.140625" defaultRowHeight="15"/>
  <cols>
    <col min="2" max="2" width="9.140625" style="0" customWidth="1"/>
  </cols>
  <sheetData>
    <row r="9" spans="2:8" ht="15">
      <c r="B9" s="115" t="s">
        <v>90</v>
      </c>
      <c r="C9" s="116"/>
      <c r="D9" s="116"/>
      <c r="E9" s="116"/>
      <c r="F9" s="116"/>
      <c r="G9" s="116"/>
      <c r="H9" s="38"/>
    </row>
    <row r="10" spans="2:8" ht="15">
      <c r="B10" s="116"/>
      <c r="C10" s="116"/>
      <c r="D10" s="116"/>
      <c r="E10" s="116"/>
      <c r="F10" s="116"/>
      <c r="G10" s="116"/>
      <c r="H10" s="38"/>
    </row>
    <row r="11" spans="2:8" ht="15">
      <c r="B11" s="116"/>
      <c r="C11" s="116"/>
      <c r="D11" s="116"/>
      <c r="E11" s="116"/>
      <c r="F11" s="116"/>
      <c r="G11" s="116"/>
      <c r="H11" s="38"/>
    </row>
    <row r="12" spans="2:8" ht="15">
      <c r="B12" s="116"/>
      <c r="C12" s="116"/>
      <c r="D12" s="116"/>
      <c r="E12" s="116"/>
      <c r="F12" s="116"/>
      <c r="G12" s="116"/>
      <c r="H12" s="38"/>
    </row>
    <row r="13" spans="2:8" ht="15">
      <c r="B13" s="116"/>
      <c r="C13" s="116"/>
      <c r="D13" s="116"/>
      <c r="E13" s="116"/>
      <c r="F13" s="116"/>
      <c r="G13" s="116"/>
      <c r="H13" s="38"/>
    </row>
    <row r="56" spans="2:7" ht="15">
      <c r="B56" s="115" t="s">
        <v>90</v>
      </c>
      <c r="C56" s="116"/>
      <c r="D56" s="116"/>
      <c r="E56" s="116"/>
      <c r="F56" s="116"/>
      <c r="G56" s="116"/>
    </row>
    <row r="57" spans="2:7" ht="15">
      <c r="B57" s="116"/>
      <c r="C57" s="116"/>
      <c r="D57" s="116"/>
      <c r="E57" s="116"/>
      <c r="F57" s="116"/>
      <c r="G57" s="116"/>
    </row>
    <row r="58" spans="2:7" ht="15">
      <c r="B58" s="116"/>
      <c r="C58" s="116"/>
      <c r="D58" s="116"/>
      <c r="E58" s="116"/>
      <c r="F58" s="116"/>
      <c r="G58" s="116"/>
    </row>
    <row r="59" spans="2:7" ht="15">
      <c r="B59" s="116"/>
      <c r="C59" s="116"/>
      <c r="D59" s="116"/>
      <c r="E59" s="116"/>
      <c r="F59" s="116"/>
      <c r="G59" s="116"/>
    </row>
    <row r="60" spans="2:7" ht="15">
      <c r="B60" s="116"/>
      <c r="C60" s="116"/>
      <c r="D60" s="116"/>
      <c r="E60" s="116"/>
      <c r="F60" s="116"/>
      <c r="G60" s="116"/>
    </row>
    <row r="86" spans="2:7" ht="15">
      <c r="B86" s="115" t="s">
        <v>90</v>
      </c>
      <c r="C86" s="116"/>
      <c r="D86" s="116"/>
      <c r="E86" s="116"/>
      <c r="F86" s="116"/>
      <c r="G86" s="116"/>
    </row>
    <row r="87" spans="2:7" ht="15">
      <c r="B87" s="116"/>
      <c r="C87" s="116"/>
      <c r="D87" s="116"/>
      <c r="E87" s="116"/>
      <c r="F87" s="116"/>
      <c r="G87" s="116"/>
    </row>
    <row r="88" spans="2:7" ht="15">
      <c r="B88" s="116"/>
      <c r="C88" s="116"/>
      <c r="D88" s="116"/>
      <c r="E88" s="116"/>
      <c r="F88" s="116"/>
      <c r="G88" s="116"/>
    </row>
    <row r="89" spans="2:7" ht="15">
      <c r="B89" s="116"/>
      <c r="C89" s="116"/>
      <c r="D89" s="116"/>
      <c r="E89" s="116"/>
      <c r="F89" s="116"/>
      <c r="G89" s="116"/>
    </row>
    <row r="90" spans="2:7" ht="15">
      <c r="B90" s="116"/>
      <c r="C90" s="116"/>
      <c r="D90" s="116"/>
      <c r="E90" s="116"/>
      <c r="F90" s="116"/>
      <c r="G90" s="116"/>
    </row>
    <row r="135" spans="3:8" ht="15">
      <c r="C135" s="115" t="s">
        <v>90</v>
      </c>
      <c r="D135" s="116"/>
      <c r="E135" s="116"/>
      <c r="F135" s="116"/>
      <c r="G135" s="116"/>
      <c r="H135" s="116"/>
    </row>
    <row r="136" spans="3:8" ht="15">
      <c r="C136" s="116"/>
      <c r="D136" s="116"/>
      <c r="E136" s="116"/>
      <c r="F136" s="116"/>
      <c r="G136" s="116"/>
      <c r="H136" s="116"/>
    </row>
    <row r="137" spans="3:8" ht="15">
      <c r="C137" s="116"/>
      <c r="D137" s="116"/>
      <c r="E137" s="116"/>
      <c r="F137" s="116"/>
      <c r="G137" s="116"/>
      <c r="H137" s="116"/>
    </row>
    <row r="138" spans="3:8" ht="15">
      <c r="C138" s="116"/>
      <c r="D138" s="116"/>
      <c r="E138" s="116"/>
      <c r="F138" s="116"/>
      <c r="G138" s="116"/>
      <c r="H138" s="116"/>
    </row>
    <row r="139" spans="3:8" ht="15">
      <c r="C139" s="116"/>
      <c r="D139" s="116"/>
      <c r="E139" s="116"/>
      <c r="F139" s="116"/>
      <c r="G139" s="116"/>
      <c r="H139" s="116"/>
    </row>
  </sheetData>
  <mergeCells count="4">
    <mergeCell ref="B9:G13"/>
    <mergeCell ref="B56:G60"/>
    <mergeCell ref="B86:G90"/>
    <mergeCell ref="C135:H13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79"/>
  <sheetViews>
    <sheetView workbookViewId="0" topLeftCell="A142">
      <selection activeCell="P168" sqref="P168"/>
    </sheetView>
  </sheetViews>
  <sheetFormatPr defaultColWidth="9.140625" defaultRowHeight="15"/>
  <sheetData>
    <row r="2" spans="3:8" ht="15">
      <c r="C2" s="115" t="s">
        <v>90</v>
      </c>
      <c r="D2" s="116"/>
      <c r="E2" s="116"/>
      <c r="F2" s="116"/>
      <c r="G2" s="116"/>
      <c r="H2" s="116"/>
    </row>
    <row r="3" spans="3:8" ht="15">
      <c r="C3" s="116"/>
      <c r="D3" s="116"/>
      <c r="E3" s="116"/>
      <c r="F3" s="116"/>
      <c r="G3" s="116"/>
      <c r="H3" s="116"/>
    </row>
    <row r="4" spans="3:8" ht="15">
      <c r="C4" s="116"/>
      <c r="D4" s="116"/>
      <c r="E4" s="116"/>
      <c r="F4" s="116"/>
      <c r="G4" s="116"/>
      <c r="H4" s="116"/>
    </row>
    <row r="5" spans="3:8" ht="15">
      <c r="C5" s="116"/>
      <c r="D5" s="116"/>
      <c r="E5" s="116"/>
      <c r="F5" s="116"/>
      <c r="G5" s="116"/>
      <c r="H5" s="116"/>
    </row>
    <row r="6" spans="3:8" ht="15">
      <c r="C6" s="116"/>
      <c r="D6" s="116"/>
      <c r="E6" s="116"/>
      <c r="F6" s="116"/>
      <c r="G6" s="116"/>
      <c r="H6" s="116"/>
    </row>
    <row r="41" spans="2:7" ht="15">
      <c r="B41" s="115" t="s">
        <v>90</v>
      </c>
      <c r="C41" s="116"/>
      <c r="D41" s="116"/>
      <c r="E41" s="116"/>
      <c r="F41" s="116"/>
      <c r="G41" s="116"/>
    </row>
    <row r="42" spans="2:7" ht="15">
      <c r="B42" s="116"/>
      <c r="C42" s="116"/>
      <c r="D42" s="116"/>
      <c r="E42" s="116"/>
      <c r="F42" s="116"/>
      <c r="G42" s="116"/>
    </row>
    <row r="43" spans="2:7" ht="15">
      <c r="B43" s="116"/>
      <c r="C43" s="116"/>
      <c r="D43" s="116"/>
      <c r="E43" s="116"/>
      <c r="F43" s="116"/>
      <c r="G43" s="116"/>
    </row>
    <row r="44" spans="2:7" ht="15">
      <c r="B44" s="116"/>
      <c r="C44" s="116"/>
      <c r="D44" s="116"/>
      <c r="E44" s="116"/>
      <c r="F44" s="116"/>
      <c r="G44" s="116"/>
    </row>
    <row r="45" spans="2:7" ht="15">
      <c r="B45" s="116"/>
      <c r="C45" s="116"/>
      <c r="D45" s="116"/>
      <c r="E45" s="116"/>
      <c r="F45" s="116"/>
      <c r="G45" s="116"/>
    </row>
    <row r="175" spans="2:7" ht="15">
      <c r="B175" s="115" t="s">
        <v>90</v>
      </c>
      <c r="C175" s="116"/>
      <c r="D175" s="116"/>
      <c r="E175" s="116"/>
      <c r="F175" s="116"/>
      <c r="G175" s="116"/>
    </row>
    <row r="176" spans="2:7" ht="15">
      <c r="B176" s="116"/>
      <c r="C176" s="116"/>
      <c r="D176" s="116"/>
      <c r="E176" s="116"/>
      <c r="F176" s="116"/>
      <c r="G176" s="116"/>
    </row>
    <row r="177" spans="2:7" ht="15">
      <c r="B177" s="116"/>
      <c r="C177" s="116"/>
      <c r="D177" s="116"/>
      <c r="E177" s="116"/>
      <c r="F177" s="116"/>
      <c r="G177" s="116"/>
    </row>
    <row r="178" spans="2:7" ht="15">
      <c r="B178" s="116"/>
      <c r="C178" s="116"/>
      <c r="D178" s="116"/>
      <c r="E178" s="116"/>
      <c r="F178" s="116"/>
      <c r="G178" s="116"/>
    </row>
    <row r="179" spans="2:7" ht="15">
      <c r="B179" s="116"/>
      <c r="C179" s="116"/>
      <c r="D179" s="116"/>
      <c r="E179" s="116"/>
      <c r="F179" s="116"/>
      <c r="G179" s="116"/>
    </row>
  </sheetData>
  <mergeCells count="3">
    <mergeCell ref="B41:G45"/>
    <mergeCell ref="C2:H6"/>
    <mergeCell ref="B175:G17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CGSH</dc:creator>
  <cp:keywords/>
  <dc:description/>
  <cp:lastModifiedBy>CGSH</cp:lastModifiedBy>
  <dcterms:created xsi:type="dcterms:W3CDTF">2016-02-26T14:01:49Z</dcterms:created>
  <dcterms:modified xsi:type="dcterms:W3CDTF">2017-11-11T15:17:29Z</dcterms:modified>
  <cp:category/>
  <cp:version/>
  <cp:contentType/>
  <cp:contentStatus/>
</cp:coreProperties>
</file>